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gvt.sharepoint.com/sites/Teams-EBD/Shared Documents/General/3-Accounts (Outside SBU)/1-Active Accounts/Bellavance/Reporting/"/>
    </mc:Choice>
  </mc:AlternateContent>
  <xr:revisionPtr revIDLastSave="259" documentId="14_{61374546-BA74-43C1-9ECC-BA00B11ADA3D}" xr6:coauthVersionLast="47" xr6:coauthVersionMax="47" xr10:uidLastSave="{CF994271-29EE-4CF3-8321-0F7B785F2746}"/>
  <bookViews>
    <workbookView xWindow="22932" yWindow="-108" windowWidth="23256" windowHeight="12576" xr2:uid="{00000000-000D-0000-FFFF-FFFF00000000}"/>
  </bookViews>
  <sheets>
    <sheet name="Data" sheetId="21" r:id="rId1"/>
    <sheet name="HCC" sheetId="32" r:id="rId2"/>
    <sheet name="2022" sheetId="35" r:id="rId3"/>
    <sheet name="2021" sheetId="33" r:id="rId4"/>
    <sheet name="2020" sheetId="34" r:id="rId5"/>
    <sheet name="2019 Archive" sheetId="18" state="hidden" r:id="rId6"/>
    <sheet name="2018 Archive" sheetId="17" state="hidden" r:id="rId7"/>
    <sheet name="Calc Sheet 2014 (2)" sheetId="11" state="hidden" r:id="rId8"/>
    <sheet name="Calc Sheet 2014" sheetId="7" state="hidden" r:id="rId9"/>
  </sheets>
  <definedNames>
    <definedName name="_xlnm.Print_Area" localSheetId="6">'2018 Archive'!$A$1:$L$97</definedName>
    <definedName name="_xlnm.Print_Area" localSheetId="5">'2019 Archive'!$A$1:$N$106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35" l="1"/>
  <c r="B79" i="35"/>
  <c r="J62" i="35"/>
  <c r="L62" i="35" s="1"/>
  <c r="K62" i="35"/>
  <c r="M62" i="35"/>
  <c r="B62" i="35"/>
  <c r="C62" i="35"/>
  <c r="E62" i="35"/>
  <c r="F62" i="35"/>
  <c r="B44" i="35"/>
  <c r="D44" i="35" s="1"/>
  <c r="C44" i="35"/>
  <c r="K26" i="35"/>
  <c r="M26" i="35" s="1"/>
  <c r="L26" i="35"/>
  <c r="B26" i="35"/>
  <c r="F26" i="35" s="1"/>
  <c r="H26" i="35" s="1"/>
  <c r="C26" i="35"/>
  <c r="D26" i="35"/>
  <c r="E26" i="35"/>
  <c r="G26" i="35"/>
  <c r="B9" i="35"/>
  <c r="C9" i="35"/>
  <c r="D9" i="35"/>
  <c r="E9" i="35"/>
  <c r="F9" i="35"/>
  <c r="CO82" i="21"/>
  <c r="CN82" i="21"/>
  <c r="CN81" i="21"/>
  <c r="L25" i="35" s="1"/>
  <c r="K25" i="35" s="1"/>
  <c r="M25" i="35" s="1"/>
  <c r="B43" i="35" s="1"/>
  <c r="CN79" i="21"/>
  <c r="CN78" i="21"/>
  <c r="D22" i="32"/>
  <c r="E22" i="32"/>
  <c r="E78" i="35"/>
  <c r="B78" i="35"/>
  <c r="J61" i="35"/>
  <c r="K61" i="35"/>
  <c r="L61" i="35" s="1"/>
  <c r="M61" i="35"/>
  <c r="B61" i="35"/>
  <c r="C61" i="35"/>
  <c r="E61" i="35"/>
  <c r="F61" i="35"/>
  <c r="C43" i="35"/>
  <c r="B25" i="35"/>
  <c r="F25" i="35" s="1"/>
  <c r="H25" i="35" s="1"/>
  <c r="C25" i="35"/>
  <c r="D25" i="35"/>
  <c r="E25" i="35"/>
  <c r="G25" i="35"/>
  <c r="B8" i="35"/>
  <c r="F8" i="35" s="1"/>
  <c r="C8" i="35"/>
  <c r="C16" i="35" s="1"/>
  <c r="D8" i="35"/>
  <c r="E8" i="35"/>
  <c r="CO81" i="21"/>
  <c r="D42" i="35"/>
  <c r="D39" i="35"/>
  <c r="B42" i="35"/>
  <c r="B39" i="35"/>
  <c r="K24" i="35"/>
  <c r="K21" i="35"/>
  <c r="D20" i="32"/>
  <c r="E20" i="32" s="1"/>
  <c r="D21" i="32"/>
  <c r="E21" i="32" s="1"/>
  <c r="E77" i="35"/>
  <c r="B77" i="35"/>
  <c r="J60" i="35"/>
  <c r="K60" i="35"/>
  <c r="L60" i="35" s="1"/>
  <c r="E60" i="35"/>
  <c r="F60" i="35"/>
  <c r="B60" i="35"/>
  <c r="C60" i="35"/>
  <c r="C42" i="35"/>
  <c r="L24" i="35"/>
  <c r="B24" i="35"/>
  <c r="F24" i="35" s="1"/>
  <c r="H24" i="35" s="1"/>
  <c r="C24" i="35"/>
  <c r="D24" i="35"/>
  <c r="E24" i="35"/>
  <c r="G24" i="35"/>
  <c r="B7" i="35"/>
  <c r="F7" i="35" s="1"/>
  <c r="C7" i="35"/>
  <c r="D7" i="35"/>
  <c r="E7" i="35"/>
  <c r="E16" i="35" s="1"/>
  <c r="CO80" i="21"/>
  <c r="E76" i="35"/>
  <c r="E75" i="35"/>
  <c r="E74" i="35"/>
  <c r="B76" i="35"/>
  <c r="B75" i="35"/>
  <c r="B74" i="35"/>
  <c r="J59" i="35"/>
  <c r="J58" i="35"/>
  <c r="J57" i="35"/>
  <c r="F59" i="35"/>
  <c r="F58" i="35"/>
  <c r="C59" i="35"/>
  <c r="C58" i="35"/>
  <c r="F57" i="35"/>
  <c r="F69" i="35" s="1"/>
  <c r="C57" i="35"/>
  <c r="L23" i="35"/>
  <c r="K23" i="35" s="1"/>
  <c r="L22" i="35"/>
  <c r="K22" i="35" s="1"/>
  <c r="G23" i="35"/>
  <c r="E23" i="35"/>
  <c r="D23" i="35"/>
  <c r="C23" i="35"/>
  <c r="B23" i="35"/>
  <c r="F23" i="35" s="1"/>
  <c r="G22" i="35"/>
  <c r="F22" i="35"/>
  <c r="E22" i="35"/>
  <c r="D22" i="35"/>
  <c r="C22" i="35"/>
  <c r="B22" i="35"/>
  <c r="L21" i="35"/>
  <c r="G21" i="35"/>
  <c r="E21" i="35"/>
  <c r="C39" i="35" s="1"/>
  <c r="D21" i="35"/>
  <c r="C21" i="35"/>
  <c r="B21" i="35"/>
  <c r="E6" i="35"/>
  <c r="D6" i="35"/>
  <c r="C6" i="35"/>
  <c r="B6" i="35"/>
  <c r="E5" i="35"/>
  <c r="D5" i="35"/>
  <c r="C5" i="35"/>
  <c r="B5" i="35"/>
  <c r="E58" i="35" s="1"/>
  <c r="E4" i="35"/>
  <c r="D4" i="35"/>
  <c r="C4" i="35"/>
  <c r="F4" i="35"/>
  <c r="B4" i="35"/>
  <c r="A39" i="35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7" i="35"/>
  <c r="I57" i="35" s="1"/>
  <c r="A58" i="35"/>
  <c r="I58" i="35" s="1"/>
  <c r="I59" i="35" s="1"/>
  <c r="I60" i="35" s="1"/>
  <c r="I61" i="35" s="1"/>
  <c r="I62" i="35" s="1"/>
  <c r="I63" i="35" s="1"/>
  <c r="I64" i="35" s="1"/>
  <c r="I65" i="35" s="1"/>
  <c r="I66" i="35" s="1"/>
  <c r="I67" i="35" s="1"/>
  <c r="I68" i="35" s="1"/>
  <c r="I45" i="35"/>
  <c r="C41" i="35"/>
  <c r="C40" i="35"/>
  <c r="J21" i="35"/>
  <c r="J22" i="35" s="1"/>
  <c r="J23" i="35" s="1"/>
  <c r="J24" i="35" s="1"/>
  <c r="J25" i="35" s="1"/>
  <c r="J26" i="35" s="1"/>
  <c r="J27" i="35" s="1"/>
  <c r="J28" i="35" s="1"/>
  <c r="J29" i="35" s="1"/>
  <c r="J30" i="35" s="1"/>
  <c r="J31" i="35" s="1"/>
  <c r="J32" i="35" s="1"/>
  <c r="A21" i="35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E59" i="35"/>
  <c r="F5" i="35"/>
  <c r="A5" i="35"/>
  <c r="A6" i="35" s="1"/>
  <c r="A7" i="35" s="1"/>
  <c r="A8" i="35" s="1"/>
  <c r="A9" i="35" s="1"/>
  <c r="A10" i="35" s="1"/>
  <c r="A11" i="35" s="1"/>
  <c r="A12" i="35" s="1"/>
  <c r="A13" i="35" s="1"/>
  <c r="A14" i="35" s="1"/>
  <c r="A15" i="35" s="1"/>
  <c r="D16" i="35"/>
  <c r="B16" i="35"/>
  <c r="B50" i="34"/>
  <c r="B49" i="34"/>
  <c r="B48" i="34"/>
  <c r="B47" i="34"/>
  <c r="B46" i="34"/>
  <c r="B45" i="34"/>
  <c r="B44" i="34"/>
  <c r="B43" i="34"/>
  <c r="B42" i="34"/>
  <c r="B41" i="34"/>
  <c r="B40" i="34"/>
  <c r="B39" i="34"/>
  <c r="H42" i="34"/>
  <c r="H41" i="34"/>
  <c r="H43" i="34" s="1"/>
  <c r="D52" i="34"/>
  <c r="I40" i="34" s="1"/>
  <c r="I45" i="34" s="1"/>
  <c r="D51" i="33"/>
  <c r="D52" i="33"/>
  <c r="I40" i="33"/>
  <c r="I45" i="33" s="1"/>
  <c r="B50" i="33"/>
  <c r="B49" i="33"/>
  <c r="B48" i="33"/>
  <c r="B47" i="33"/>
  <c r="B46" i="33"/>
  <c r="B45" i="33"/>
  <c r="B44" i="33"/>
  <c r="B43" i="33"/>
  <c r="B42" i="33"/>
  <c r="B41" i="33"/>
  <c r="B40" i="33"/>
  <c r="B39" i="33"/>
  <c r="CO79" i="21"/>
  <c r="C69" i="35" l="1"/>
  <c r="D43" i="35"/>
  <c r="M24" i="35"/>
  <c r="M23" i="35"/>
  <c r="B41" i="35" s="1"/>
  <c r="D41" i="35" s="1"/>
  <c r="B86" i="35"/>
  <c r="M60" i="35"/>
  <c r="D33" i="35"/>
  <c r="E86" i="35"/>
  <c r="J69" i="35"/>
  <c r="M22" i="35"/>
  <c r="B40" i="35" s="1"/>
  <c r="D40" i="35" s="1"/>
  <c r="G33" i="35"/>
  <c r="B33" i="35"/>
  <c r="L33" i="35"/>
  <c r="M21" i="35"/>
  <c r="F21" i="35"/>
  <c r="K57" i="35" s="1"/>
  <c r="A74" i="35"/>
  <c r="A75" i="35" s="1"/>
  <c r="A76" i="35" s="1"/>
  <c r="A77" i="35" s="1"/>
  <c r="A78" i="35" s="1"/>
  <c r="A79" i="35" s="1"/>
  <c r="A80" i="35" s="1"/>
  <c r="A81" i="35" s="1"/>
  <c r="A82" i="35" s="1"/>
  <c r="A83" i="35" s="1"/>
  <c r="A84" i="35" s="1"/>
  <c r="A85" i="35" s="1"/>
  <c r="H22" i="35"/>
  <c r="K58" i="35"/>
  <c r="K59" i="35"/>
  <c r="H23" i="35"/>
  <c r="H42" i="35"/>
  <c r="C51" i="35"/>
  <c r="H41" i="35"/>
  <c r="H43" i="35" s="1"/>
  <c r="K33" i="35"/>
  <c r="B57" i="35"/>
  <c r="C33" i="35"/>
  <c r="E57" i="35"/>
  <c r="B58" i="35"/>
  <c r="A59" i="35"/>
  <c r="A60" i="35" s="1"/>
  <c r="A61" i="35" s="1"/>
  <c r="A62" i="35" s="1"/>
  <c r="A63" i="35" s="1"/>
  <c r="A64" i="35" s="1"/>
  <c r="A65" i="35" s="1"/>
  <c r="A66" i="35" s="1"/>
  <c r="A67" i="35" s="1"/>
  <c r="A68" i="35" s="1"/>
  <c r="E33" i="35"/>
  <c r="B59" i="35"/>
  <c r="F6" i="35"/>
  <c r="B85" i="34"/>
  <c r="B84" i="34"/>
  <c r="B83" i="34"/>
  <c r="B82" i="34"/>
  <c r="B81" i="34"/>
  <c r="B80" i="34"/>
  <c r="B79" i="34"/>
  <c r="B78" i="34"/>
  <c r="B77" i="34"/>
  <c r="B76" i="34"/>
  <c r="B75" i="34"/>
  <c r="B74" i="34"/>
  <c r="J68" i="34"/>
  <c r="J67" i="34"/>
  <c r="J66" i="34"/>
  <c r="J65" i="34"/>
  <c r="J64" i="34"/>
  <c r="J63" i="34"/>
  <c r="J62" i="34"/>
  <c r="J61" i="34"/>
  <c r="J60" i="34"/>
  <c r="J59" i="34"/>
  <c r="J58" i="34"/>
  <c r="J57" i="34"/>
  <c r="F68" i="34"/>
  <c r="F67" i="34"/>
  <c r="F66" i="34"/>
  <c r="F65" i="34"/>
  <c r="F64" i="34"/>
  <c r="F63" i="34"/>
  <c r="F62" i="34"/>
  <c r="F61" i="34"/>
  <c r="F60" i="34"/>
  <c r="F59" i="34"/>
  <c r="F58" i="34"/>
  <c r="C68" i="34"/>
  <c r="C67" i="34"/>
  <c r="C66" i="34"/>
  <c r="C65" i="34"/>
  <c r="C64" i="34"/>
  <c r="C63" i="34"/>
  <c r="C62" i="34"/>
  <c r="C61" i="34"/>
  <c r="C60" i="34"/>
  <c r="C59" i="34"/>
  <c r="C58" i="34"/>
  <c r="C69" i="34" s="1"/>
  <c r="F57" i="34"/>
  <c r="C57" i="34"/>
  <c r="L32" i="34"/>
  <c r="K32" i="34"/>
  <c r="L31" i="34"/>
  <c r="K31" i="34"/>
  <c r="L30" i="34"/>
  <c r="K30" i="34"/>
  <c r="M30" i="34" s="1"/>
  <c r="L29" i="34"/>
  <c r="K29" i="34"/>
  <c r="M29" i="34" s="1"/>
  <c r="L28" i="34"/>
  <c r="K28" i="34"/>
  <c r="L27" i="34"/>
  <c r="K27" i="34"/>
  <c r="M27" i="34" s="1"/>
  <c r="L26" i="34"/>
  <c r="K26" i="34"/>
  <c r="M26" i="34" s="1"/>
  <c r="L25" i="34"/>
  <c r="K25" i="34"/>
  <c r="L24" i="34"/>
  <c r="K24" i="34"/>
  <c r="M24" i="34" s="1"/>
  <c r="L23" i="34"/>
  <c r="K23" i="34"/>
  <c r="L22" i="34"/>
  <c r="K22" i="34"/>
  <c r="M22" i="34" s="1"/>
  <c r="L21" i="34"/>
  <c r="K21" i="34"/>
  <c r="G32" i="34"/>
  <c r="E32" i="34"/>
  <c r="C50" i="34" s="1"/>
  <c r="D32" i="34"/>
  <c r="C32" i="34"/>
  <c r="B32" i="34"/>
  <c r="G31" i="34"/>
  <c r="E31" i="34"/>
  <c r="C49" i="34" s="1"/>
  <c r="D31" i="34"/>
  <c r="C31" i="34"/>
  <c r="B31" i="34"/>
  <c r="G30" i="34"/>
  <c r="E30" i="34"/>
  <c r="D30" i="34"/>
  <c r="C30" i="34"/>
  <c r="B30" i="34"/>
  <c r="G29" i="34"/>
  <c r="E29" i="34"/>
  <c r="C47" i="34" s="1"/>
  <c r="D29" i="34"/>
  <c r="C29" i="34"/>
  <c r="B29" i="34"/>
  <c r="F29" i="34" s="1"/>
  <c r="G28" i="34"/>
  <c r="E28" i="34"/>
  <c r="C46" i="34" s="1"/>
  <c r="D28" i="34"/>
  <c r="C28" i="34"/>
  <c r="B28" i="34"/>
  <c r="G27" i="34"/>
  <c r="E27" i="34"/>
  <c r="C45" i="34" s="1"/>
  <c r="D27" i="34"/>
  <c r="C27" i="34"/>
  <c r="B27" i="34"/>
  <c r="B33" i="34" s="1"/>
  <c r="G26" i="34"/>
  <c r="E26" i="34"/>
  <c r="C44" i="34" s="1"/>
  <c r="D26" i="34"/>
  <c r="C26" i="34"/>
  <c r="B26" i="34"/>
  <c r="G25" i="34"/>
  <c r="E25" i="34"/>
  <c r="C43" i="34" s="1"/>
  <c r="D25" i="34"/>
  <c r="D33" i="34" s="1"/>
  <c r="C25" i="34"/>
  <c r="B25" i="34"/>
  <c r="G24" i="34"/>
  <c r="E24" i="34"/>
  <c r="D24" i="34"/>
  <c r="C24" i="34"/>
  <c r="B24" i="34"/>
  <c r="F24" i="34" s="1"/>
  <c r="G23" i="34"/>
  <c r="E23" i="34"/>
  <c r="D23" i="34"/>
  <c r="C23" i="34"/>
  <c r="B23" i="34"/>
  <c r="G22" i="34"/>
  <c r="E22" i="34"/>
  <c r="D22" i="34"/>
  <c r="C22" i="34"/>
  <c r="B22" i="34"/>
  <c r="G21" i="34"/>
  <c r="E21" i="34"/>
  <c r="C39" i="34" s="1"/>
  <c r="D21" i="34"/>
  <c r="C21" i="34"/>
  <c r="B21" i="34"/>
  <c r="E15" i="34"/>
  <c r="D15" i="34"/>
  <c r="C15" i="34"/>
  <c r="B15" i="34"/>
  <c r="E14" i="34"/>
  <c r="D14" i="34"/>
  <c r="C14" i="34"/>
  <c r="B14" i="34"/>
  <c r="E13" i="34"/>
  <c r="D13" i="34"/>
  <c r="C13" i="34"/>
  <c r="B13" i="34"/>
  <c r="B66" i="34" s="1"/>
  <c r="E12" i="34"/>
  <c r="D12" i="34"/>
  <c r="C12" i="34"/>
  <c r="B12" i="34"/>
  <c r="E11" i="34"/>
  <c r="D11" i="34"/>
  <c r="C11" i="34"/>
  <c r="B11" i="34"/>
  <c r="E10" i="34"/>
  <c r="D10" i="34"/>
  <c r="C10" i="34"/>
  <c r="B10" i="34"/>
  <c r="E9" i="34"/>
  <c r="D9" i="34"/>
  <c r="C9" i="34"/>
  <c r="B9" i="34"/>
  <c r="E8" i="34"/>
  <c r="D8" i="34"/>
  <c r="C8" i="34"/>
  <c r="B8" i="34"/>
  <c r="E7" i="34"/>
  <c r="D7" i="34"/>
  <c r="C7" i="34"/>
  <c r="B7" i="34"/>
  <c r="E6" i="34"/>
  <c r="D6" i="34"/>
  <c r="C6" i="34"/>
  <c r="B6" i="34"/>
  <c r="E5" i="34"/>
  <c r="D5" i="34"/>
  <c r="C5" i="34"/>
  <c r="B5" i="34"/>
  <c r="E4" i="34"/>
  <c r="D4" i="34"/>
  <c r="C4" i="34"/>
  <c r="B4" i="34"/>
  <c r="E86" i="34"/>
  <c r="E63" i="34"/>
  <c r="A57" i="34"/>
  <c r="I57" i="34" s="1"/>
  <c r="A39" i="34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M31" i="34"/>
  <c r="C48" i="34"/>
  <c r="C42" i="34"/>
  <c r="M23" i="34"/>
  <c r="C41" i="34"/>
  <c r="C40" i="34"/>
  <c r="J21" i="34"/>
  <c r="J22" i="34" s="1"/>
  <c r="J23" i="34" s="1"/>
  <c r="J24" i="34" s="1"/>
  <c r="J25" i="34" s="1"/>
  <c r="J26" i="34" s="1"/>
  <c r="J27" i="34" s="1"/>
  <c r="J28" i="34" s="1"/>
  <c r="J29" i="34" s="1"/>
  <c r="J30" i="34" s="1"/>
  <c r="J31" i="34" s="1"/>
  <c r="J32" i="34" s="1"/>
  <c r="A21" i="34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E61" i="34"/>
  <c r="A5" i="34"/>
  <c r="A58" i="34" s="1"/>
  <c r="E86" i="33"/>
  <c r="B76" i="33"/>
  <c r="B77" i="33"/>
  <c r="B78" i="33"/>
  <c r="B79" i="33"/>
  <c r="B80" i="33"/>
  <c r="B81" i="33"/>
  <c r="B82" i="33"/>
  <c r="B83" i="33"/>
  <c r="B84" i="33"/>
  <c r="B85" i="33"/>
  <c r="B75" i="33"/>
  <c r="B74" i="33"/>
  <c r="J68" i="33"/>
  <c r="J67" i="33"/>
  <c r="J66" i="33"/>
  <c r="J65" i="33"/>
  <c r="J64" i="33"/>
  <c r="J63" i="33"/>
  <c r="J62" i="33"/>
  <c r="J61" i="33"/>
  <c r="J60" i="33"/>
  <c r="J59" i="33"/>
  <c r="J58" i="33"/>
  <c r="J57" i="33"/>
  <c r="F68" i="33"/>
  <c r="C68" i="33"/>
  <c r="F67" i="33"/>
  <c r="C67" i="33"/>
  <c r="F66" i="33"/>
  <c r="C66" i="33"/>
  <c r="F65" i="33"/>
  <c r="C65" i="33"/>
  <c r="F64" i="33"/>
  <c r="C64" i="33"/>
  <c r="F63" i="33"/>
  <c r="C63" i="33"/>
  <c r="F62" i="33"/>
  <c r="C62" i="33"/>
  <c r="F61" i="33"/>
  <c r="C61" i="33"/>
  <c r="F60" i="33"/>
  <c r="C60" i="33"/>
  <c r="F59" i="33"/>
  <c r="C59" i="33"/>
  <c r="F58" i="33"/>
  <c r="C58" i="33"/>
  <c r="F57" i="33"/>
  <c r="C57" i="33"/>
  <c r="L32" i="33"/>
  <c r="K32" i="33"/>
  <c r="M32" i="33" s="1"/>
  <c r="L31" i="33"/>
  <c r="K31" i="33"/>
  <c r="L30" i="33"/>
  <c r="K30" i="33"/>
  <c r="L29" i="33"/>
  <c r="K29" i="33"/>
  <c r="L28" i="33"/>
  <c r="K28" i="33"/>
  <c r="M28" i="33" s="1"/>
  <c r="L27" i="33"/>
  <c r="K27" i="33"/>
  <c r="L26" i="33"/>
  <c r="M26" i="33" s="1"/>
  <c r="K26" i="33"/>
  <c r="L25" i="33"/>
  <c r="K25" i="33"/>
  <c r="L24" i="33"/>
  <c r="K24" i="33"/>
  <c r="L23" i="33"/>
  <c r="K23" i="33"/>
  <c r="L22" i="33"/>
  <c r="K22" i="33"/>
  <c r="L21" i="33"/>
  <c r="K21" i="33"/>
  <c r="G32" i="33"/>
  <c r="E32" i="33"/>
  <c r="C50" i="33" s="1"/>
  <c r="D32" i="33"/>
  <c r="C32" i="33"/>
  <c r="B32" i="33"/>
  <c r="G31" i="33"/>
  <c r="E31" i="33"/>
  <c r="C49" i="33" s="1"/>
  <c r="H41" i="33" s="1"/>
  <c r="D31" i="33"/>
  <c r="C31" i="33"/>
  <c r="B31" i="33"/>
  <c r="G30" i="33"/>
  <c r="E30" i="33"/>
  <c r="C48" i="33" s="1"/>
  <c r="D30" i="33"/>
  <c r="C30" i="33"/>
  <c r="B30" i="33"/>
  <c r="G29" i="33"/>
  <c r="E29" i="33"/>
  <c r="C47" i="33" s="1"/>
  <c r="D29" i="33"/>
  <c r="C29" i="33"/>
  <c r="B29" i="33"/>
  <c r="G28" i="33"/>
  <c r="E28" i="33"/>
  <c r="D28" i="33"/>
  <c r="C28" i="33"/>
  <c r="B28" i="33"/>
  <c r="G27" i="33"/>
  <c r="E27" i="33"/>
  <c r="C45" i="33" s="1"/>
  <c r="D27" i="33"/>
  <c r="C27" i="33"/>
  <c r="B27" i="33"/>
  <c r="G26" i="33"/>
  <c r="E26" i="33"/>
  <c r="C44" i="33" s="1"/>
  <c r="D26" i="33"/>
  <c r="C26" i="33"/>
  <c r="B26" i="33"/>
  <c r="G25" i="33"/>
  <c r="E25" i="33"/>
  <c r="C43" i="33" s="1"/>
  <c r="D25" i="33"/>
  <c r="C25" i="33"/>
  <c r="B25" i="33"/>
  <c r="G24" i="33"/>
  <c r="E24" i="33"/>
  <c r="C42" i="33" s="1"/>
  <c r="D24" i="33"/>
  <c r="C24" i="33"/>
  <c r="B24" i="33"/>
  <c r="G23" i="33"/>
  <c r="E23" i="33"/>
  <c r="C41" i="33" s="1"/>
  <c r="D23" i="33"/>
  <c r="C23" i="33"/>
  <c r="B23" i="33"/>
  <c r="F23" i="33" s="1"/>
  <c r="G22" i="33"/>
  <c r="E22" i="33"/>
  <c r="C40" i="33" s="1"/>
  <c r="D22" i="33"/>
  <c r="C22" i="33"/>
  <c r="B22" i="33"/>
  <c r="G21" i="33"/>
  <c r="E21" i="33"/>
  <c r="C39" i="33" s="1"/>
  <c r="D21" i="33"/>
  <c r="C21" i="33"/>
  <c r="B21" i="33"/>
  <c r="E15" i="33"/>
  <c r="D15" i="33"/>
  <c r="C15" i="33"/>
  <c r="B15" i="33"/>
  <c r="E14" i="33"/>
  <c r="D14" i="33"/>
  <c r="C14" i="33"/>
  <c r="B14" i="33"/>
  <c r="E13" i="33"/>
  <c r="D13" i="33"/>
  <c r="C13" i="33"/>
  <c r="B13" i="33"/>
  <c r="E12" i="33"/>
  <c r="D12" i="33"/>
  <c r="C12" i="33"/>
  <c r="B12" i="33"/>
  <c r="E11" i="33"/>
  <c r="D11" i="33"/>
  <c r="C11" i="33"/>
  <c r="B11" i="33"/>
  <c r="E10" i="33"/>
  <c r="D10" i="33"/>
  <c r="C10" i="33"/>
  <c r="B10" i="33"/>
  <c r="E9" i="33"/>
  <c r="D9" i="33"/>
  <c r="C9" i="33"/>
  <c r="B9" i="33"/>
  <c r="E8" i="33"/>
  <c r="D8" i="33"/>
  <c r="C8" i="33"/>
  <c r="B8" i="33"/>
  <c r="E7" i="33"/>
  <c r="D7" i="33"/>
  <c r="C7" i="33"/>
  <c r="B7" i="33"/>
  <c r="E6" i="33"/>
  <c r="D6" i="33"/>
  <c r="C6" i="33"/>
  <c r="B6" i="33"/>
  <c r="E5" i="33"/>
  <c r="D5" i="33"/>
  <c r="C5" i="33"/>
  <c r="B5" i="33"/>
  <c r="E4" i="33"/>
  <c r="D4" i="33"/>
  <c r="C4" i="33"/>
  <c r="B4" i="33"/>
  <c r="A57" i="33"/>
  <c r="I57" i="33" s="1"/>
  <c r="A39" i="33"/>
  <c r="A74" i="33" s="1"/>
  <c r="J21" i="33"/>
  <c r="J22" i="33" s="1"/>
  <c r="J23" i="33" s="1"/>
  <c r="J24" i="33" s="1"/>
  <c r="J25" i="33" s="1"/>
  <c r="J26" i="33" s="1"/>
  <c r="J27" i="33" s="1"/>
  <c r="J28" i="33" s="1"/>
  <c r="J29" i="33" s="1"/>
  <c r="J30" i="33" s="1"/>
  <c r="J31" i="33" s="1"/>
  <c r="J32" i="33" s="1"/>
  <c r="A21" i="33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5" i="33"/>
  <c r="A6" i="33" s="1"/>
  <c r="A7" i="33" s="1"/>
  <c r="A8" i="33" s="1"/>
  <c r="A9" i="33" s="1"/>
  <c r="A10" i="33" s="1"/>
  <c r="A11" i="33" s="1"/>
  <c r="A12" i="33" s="1"/>
  <c r="A13" i="33" s="1"/>
  <c r="A14" i="33" s="1"/>
  <c r="A15" i="33" s="1"/>
  <c r="B51" i="35" l="1"/>
  <c r="M33" i="35"/>
  <c r="H21" i="35"/>
  <c r="F33" i="35"/>
  <c r="D74" i="35"/>
  <c r="D75" i="35" s="1"/>
  <c r="D76" i="35" s="1"/>
  <c r="D77" i="35" s="1"/>
  <c r="D78" i="35" s="1"/>
  <c r="D79" i="35" s="1"/>
  <c r="D80" i="35" s="1"/>
  <c r="D81" i="35" s="1"/>
  <c r="D82" i="35" s="1"/>
  <c r="D83" i="35" s="1"/>
  <c r="D84" i="35" s="1"/>
  <c r="D85" i="35" s="1"/>
  <c r="F16" i="35"/>
  <c r="M59" i="35"/>
  <c r="L59" i="35"/>
  <c r="M58" i="35"/>
  <c r="L58" i="35"/>
  <c r="H33" i="35"/>
  <c r="E69" i="35"/>
  <c r="G69" i="35" s="1"/>
  <c r="B69" i="35"/>
  <c r="D69" i="35" s="1"/>
  <c r="D51" i="35"/>
  <c r="H40" i="35" s="1"/>
  <c r="H45" i="35" s="1"/>
  <c r="H47" i="35" s="1"/>
  <c r="K69" i="35"/>
  <c r="L69" i="35" s="1"/>
  <c r="M57" i="35"/>
  <c r="L57" i="35"/>
  <c r="F30" i="34"/>
  <c r="M25" i="34"/>
  <c r="B62" i="34"/>
  <c r="E68" i="34"/>
  <c r="E64" i="34"/>
  <c r="B16" i="34"/>
  <c r="E66" i="34"/>
  <c r="C16" i="34"/>
  <c r="F26" i="34"/>
  <c r="E58" i="34"/>
  <c r="E16" i="34"/>
  <c r="H43" i="33"/>
  <c r="E67" i="33"/>
  <c r="F29" i="33"/>
  <c r="B61" i="33"/>
  <c r="B63" i="33"/>
  <c r="B65" i="33"/>
  <c r="M31" i="33"/>
  <c r="D42" i="33"/>
  <c r="F31" i="33"/>
  <c r="K67" i="33" s="1"/>
  <c r="L67" i="33" s="1"/>
  <c r="D50" i="33"/>
  <c r="H42" i="33"/>
  <c r="M24" i="33"/>
  <c r="H29" i="34"/>
  <c r="K65" i="34"/>
  <c r="H26" i="34"/>
  <c r="K62" i="34"/>
  <c r="E62" i="34"/>
  <c r="D16" i="34"/>
  <c r="F23" i="34"/>
  <c r="H30" i="34"/>
  <c r="K66" i="34"/>
  <c r="L66" i="34" s="1"/>
  <c r="F28" i="34"/>
  <c r="F31" i="34"/>
  <c r="F7" i="34"/>
  <c r="F11" i="34"/>
  <c r="F25" i="34"/>
  <c r="M28" i="34"/>
  <c r="M32" i="34"/>
  <c r="D50" i="34" s="1"/>
  <c r="F22" i="34"/>
  <c r="H24" i="34"/>
  <c r="K60" i="34"/>
  <c r="F6" i="34"/>
  <c r="F10" i="34"/>
  <c r="E65" i="34"/>
  <c r="E67" i="34"/>
  <c r="F27" i="34"/>
  <c r="F32" i="34"/>
  <c r="E59" i="33"/>
  <c r="E65" i="33"/>
  <c r="H23" i="33"/>
  <c r="K59" i="33"/>
  <c r="H31" i="33"/>
  <c r="J69" i="33"/>
  <c r="B60" i="33"/>
  <c r="F11" i="33"/>
  <c r="F12" i="33"/>
  <c r="C33" i="33"/>
  <c r="H29" i="33"/>
  <c r="K65" i="33"/>
  <c r="L65" i="33" s="1"/>
  <c r="E58" i="33"/>
  <c r="E60" i="33"/>
  <c r="F13" i="33"/>
  <c r="E68" i="33"/>
  <c r="E62" i="33"/>
  <c r="F22" i="33"/>
  <c r="D49" i="33"/>
  <c r="B86" i="34"/>
  <c r="J69" i="34"/>
  <c r="F69" i="34"/>
  <c r="D43" i="34"/>
  <c r="L33" i="34"/>
  <c r="D40" i="34"/>
  <c r="D47" i="34"/>
  <c r="D44" i="34"/>
  <c r="M21" i="34"/>
  <c r="G33" i="34"/>
  <c r="C33" i="34"/>
  <c r="F21" i="34"/>
  <c r="H21" i="34" s="1"/>
  <c r="B63" i="34"/>
  <c r="F14" i="34"/>
  <c r="E59" i="34"/>
  <c r="B59" i="34"/>
  <c r="B67" i="34"/>
  <c r="E60" i="34"/>
  <c r="C51" i="34"/>
  <c r="D41" i="34"/>
  <c r="D42" i="34"/>
  <c r="A59" i="34"/>
  <c r="A60" i="34" s="1"/>
  <c r="A61" i="34" s="1"/>
  <c r="A62" i="34" s="1"/>
  <c r="A63" i="34" s="1"/>
  <c r="A64" i="34" s="1"/>
  <c r="A65" i="34" s="1"/>
  <c r="A66" i="34" s="1"/>
  <c r="A67" i="34" s="1"/>
  <c r="A68" i="34" s="1"/>
  <c r="I58" i="34"/>
  <c r="I59" i="34" s="1"/>
  <c r="I60" i="34" s="1"/>
  <c r="I61" i="34" s="1"/>
  <c r="I62" i="34" s="1"/>
  <c r="I63" i="34" s="1"/>
  <c r="I64" i="34" s="1"/>
  <c r="I65" i="34" s="1"/>
  <c r="I66" i="34" s="1"/>
  <c r="I67" i="34" s="1"/>
  <c r="I68" i="34" s="1"/>
  <c r="L62" i="34"/>
  <c r="D49" i="34"/>
  <c r="D48" i="34"/>
  <c r="D45" i="34"/>
  <c r="D46" i="34"/>
  <c r="B58" i="34"/>
  <c r="F5" i="34"/>
  <c r="F9" i="34"/>
  <c r="F13" i="34"/>
  <c r="A6" i="34"/>
  <c r="A7" i="34" s="1"/>
  <c r="A8" i="34" s="1"/>
  <c r="A9" i="34" s="1"/>
  <c r="A10" i="34" s="1"/>
  <c r="A11" i="34" s="1"/>
  <c r="A12" i="34" s="1"/>
  <c r="A13" i="34" s="1"/>
  <c r="A14" i="34" s="1"/>
  <c r="A15" i="34" s="1"/>
  <c r="K33" i="34"/>
  <c r="B57" i="34"/>
  <c r="B61" i="34"/>
  <c r="B65" i="34"/>
  <c r="A74" i="34"/>
  <c r="F4" i="34"/>
  <c r="F8" i="34"/>
  <c r="F12" i="34"/>
  <c r="E57" i="34"/>
  <c r="B60" i="34"/>
  <c r="B64" i="34"/>
  <c r="B68" i="34"/>
  <c r="F15" i="34"/>
  <c r="E33" i="34"/>
  <c r="D44" i="33"/>
  <c r="F26" i="33"/>
  <c r="E64" i="33"/>
  <c r="F7" i="33"/>
  <c r="F15" i="33"/>
  <c r="E16" i="33"/>
  <c r="F14" i="33"/>
  <c r="F27" i="33"/>
  <c r="F32" i="33"/>
  <c r="L33" i="33"/>
  <c r="M29" i="33"/>
  <c r="D47" i="33" s="1"/>
  <c r="F5" i="33"/>
  <c r="M23" i="33"/>
  <c r="D41" i="33" s="1"/>
  <c r="M30" i="33"/>
  <c r="D48" i="33" s="1"/>
  <c r="B58" i="33"/>
  <c r="B62" i="33"/>
  <c r="B64" i="33"/>
  <c r="B66" i="33"/>
  <c r="B68" i="33"/>
  <c r="F9" i="33"/>
  <c r="F25" i="33"/>
  <c r="M27" i="33"/>
  <c r="D45" i="33" s="1"/>
  <c r="D33" i="33"/>
  <c r="B59" i="33"/>
  <c r="B67" i="33"/>
  <c r="F6" i="33"/>
  <c r="F8" i="33"/>
  <c r="F10" i="33"/>
  <c r="F28" i="33"/>
  <c r="F30" i="33"/>
  <c r="M25" i="33"/>
  <c r="D43" i="33" s="1"/>
  <c r="C46" i="33"/>
  <c r="D46" i="33" s="1"/>
  <c r="E66" i="33"/>
  <c r="F24" i="33"/>
  <c r="K33" i="33"/>
  <c r="C69" i="33"/>
  <c r="E61" i="33"/>
  <c r="E63" i="33"/>
  <c r="B86" i="33"/>
  <c r="L59" i="33"/>
  <c r="M22" i="33"/>
  <c r="D40" i="33" s="1"/>
  <c r="G33" i="33"/>
  <c r="B33" i="33"/>
  <c r="F69" i="33"/>
  <c r="D16" i="33"/>
  <c r="C16" i="33"/>
  <c r="F4" i="33"/>
  <c r="E57" i="33"/>
  <c r="E69" i="33" s="1"/>
  <c r="D74" i="33"/>
  <c r="D75" i="33" s="1"/>
  <c r="D76" i="33" s="1"/>
  <c r="D77" i="33" s="1"/>
  <c r="D78" i="33" s="1"/>
  <c r="D79" i="33" s="1"/>
  <c r="D80" i="33" s="1"/>
  <c r="D81" i="33" s="1"/>
  <c r="D82" i="33" s="1"/>
  <c r="D83" i="33" s="1"/>
  <c r="D84" i="33" s="1"/>
  <c r="D85" i="33" s="1"/>
  <c r="A75" i="33"/>
  <c r="A76" i="33" s="1"/>
  <c r="A77" i="33" s="1"/>
  <c r="A78" i="33" s="1"/>
  <c r="A79" i="33" s="1"/>
  <c r="A80" i="33" s="1"/>
  <c r="A81" i="33" s="1"/>
  <c r="A82" i="33" s="1"/>
  <c r="A83" i="33" s="1"/>
  <c r="A84" i="33" s="1"/>
  <c r="A85" i="33" s="1"/>
  <c r="B16" i="33"/>
  <c r="M21" i="33"/>
  <c r="B57" i="33"/>
  <c r="A40" i="33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F21" i="33"/>
  <c r="K57" i="33" s="1"/>
  <c r="L57" i="33" s="1"/>
  <c r="E33" i="33"/>
  <c r="A58" i="33"/>
  <c r="M69" i="35" l="1"/>
  <c r="M66" i="34"/>
  <c r="M60" i="34"/>
  <c r="M65" i="34"/>
  <c r="H27" i="34"/>
  <c r="K63" i="34"/>
  <c r="H23" i="34"/>
  <c r="K59" i="34"/>
  <c r="H25" i="34"/>
  <c r="K61" i="34"/>
  <c r="B69" i="34"/>
  <c r="D69" i="34" s="1"/>
  <c r="L65" i="34"/>
  <c r="L60" i="34"/>
  <c r="E69" i="34"/>
  <c r="G69" i="34" s="1"/>
  <c r="F33" i="34"/>
  <c r="K57" i="34"/>
  <c r="H31" i="34"/>
  <c r="K67" i="34"/>
  <c r="H28" i="34"/>
  <c r="K64" i="34"/>
  <c r="B51" i="34"/>
  <c r="H32" i="34"/>
  <c r="K68" i="34"/>
  <c r="L68" i="34" s="1"/>
  <c r="H22" i="34"/>
  <c r="H33" i="34" s="1"/>
  <c r="K58" i="34"/>
  <c r="L58" i="34" s="1"/>
  <c r="M59" i="33"/>
  <c r="H26" i="33"/>
  <c r="K62" i="33"/>
  <c r="M62" i="33" s="1"/>
  <c r="H32" i="33"/>
  <c r="K68" i="33"/>
  <c r="M68" i="33" s="1"/>
  <c r="B69" i="33"/>
  <c r="D69" i="33" s="1"/>
  <c r="H27" i="33"/>
  <c r="K63" i="33"/>
  <c r="L63" i="33" s="1"/>
  <c r="M65" i="33"/>
  <c r="H24" i="33"/>
  <c r="K60" i="33"/>
  <c r="M60" i="33" s="1"/>
  <c r="M67" i="33"/>
  <c r="H22" i="33"/>
  <c r="K58" i="33"/>
  <c r="L58" i="33" s="1"/>
  <c r="H30" i="33"/>
  <c r="K66" i="33"/>
  <c r="M66" i="33" s="1"/>
  <c r="C51" i="33"/>
  <c r="H28" i="33"/>
  <c r="K64" i="33"/>
  <c r="H25" i="33"/>
  <c r="K61" i="33"/>
  <c r="L61" i="33" s="1"/>
  <c r="M62" i="34"/>
  <c r="M33" i="34"/>
  <c r="F16" i="34"/>
  <c r="A75" i="34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D74" i="34"/>
  <c r="D75" i="34" s="1"/>
  <c r="D76" i="34" s="1"/>
  <c r="D77" i="34" s="1"/>
  <c r="D78" i="34" s="1"/>
  <c r="D79" i="34" s="1"/>
  <c r="D80" i="34" s="1"/>
  <c r="D81" i="34" s="1"/>
  <c r="D82" i="34" s="1"/>
  <c r="D83" i="34" s="1"/>
  <c r="D84" i="34" s="1"/>
  <c r="D85" i="34" s="1"/>
  <c r="D39" i="34"/>
  <c r="D51" i="34" s="1"/>
  <c r="H40" i="34" s="1"/>
  <c r="H45" i="34" s="1"/>
  <c r="H47" i="34" s="1"/>
  <c r="L64" i="33"/>
  <c r="M64" i="33"/>
  <c r="L68" i="33"/>
  <c r="F16" i="33"/>
  <c r="G69" i="33"/>
  <c r="I58" i="33"/>
  <c r="I59" i="33" s="1"/>
  <c r="I60" i="33" s="1"/>
  <c r="I61" i="33" s="1"/>
  <c r="I62" i="33" s="1"/>
  <c r="I63" i="33" s="1"/>
  <c r="I64" i="33" s="1"/>
  <c r="I65" i="33" s="1"/>
  <c r="I66" i="33" s="1"/>
  <c r="I67" i="33" s="1"/>
  <c r="I68" i="33" s="1"/>
  <c r="A59" i="33"/>
  <c r="A60" i="33" s="1"/>
  <c r="A61" i="33" s="1"/>
  <c r="A62" i="33" s="1"/>
  <c r="A63" i="33" s="1"/>
  <c r="A64" i="33" s="1"/>
  <c r="A65" i="33" s="1"/>
  <c r="A66" i="33" s="1"/>
  <c r="A67" i="33" s="1"/>
  <c r="A68" i="33" s="1"/>
  <c r="M33" i="33"/>
  <c r="F33" i="33"/>
  <c r="H21" i="33"/>
  <c r="CN41" i="21"/>
  <c r="CN42" i="21"/>
  <c r="CN43" i="21" s="1"/>
  <c r="CN5" i="21"/>
  <c r="CN6" i="21" s="1"/>
  <c r="CN17" i="21"/>
  <c r="CN18" i="21"/>
  <c r="CN19" i="21" s="1"/>
  <c r="CN29" i="21"/>
  <c r="CN30" i="21" s="1"/>
  <c r="CC52" i="21"/>
  <c r="CB52" i="21"/>
  <c r="CA52" i="21"/>
  <c r="BZ52" i="21"/>
  <c r="CC63" i="21"/>
  <c r="CB63" i="21"/>
  <c r="CA63" i="21"/>
  <c r="BZ63" i="21"/>
  <c r="CC62" i="21"/>
  <c r="CB62" i="21"/>
  <c r="CA62" i="21"/>
  <c r="BZ62" i="21"/>
  <c r="CC61" i="21"/>
  <c r="CB61" i="21"/>
  <c r="CA61" i="21"/>
  <c r="BZ61" i="21"/>
  <c r="CC60" i="21"/>
  <c r="CB60" i="21"/>
  <c r="CA60" i="21"/>
  <c r="BZ60" i="21"/>
  <c r="CC59" i="21"/>
  <c r="CB59" i="21"/>
  <c r="CA59" i="21"/>
  <c r="BZ59" i="21"/>
  <c r="CC58" i="21"/>
  <c r="CB58" i="21"/>
  <c r="CA58" i="21"/>
  <c r="BZ58" i="21"/>
  <c r="CC57" i="21"/>
  <c r="CB57" i="21"/>
  <c r="CA57" i="21"/>
  <c r="BZ57" i="21"/>
  <c r="CC56" i="21"/>
  <c r="CB56" i="21"/>
  <c r="CA56" i="21"/>
  <c r="BZ56" i="21"/>
  <c r="CC55" i="21"/>
  <c r="CB55" i="21"/>
  <c r="CA55" i="21"/>
  <c r="BZ55" i="21"/>
  <c r="CC54" i="21"/>
  <c r="CB54" i="21"/>
  <c r="CA54" i="21"/>
  <c r="BZ54" i="21"/>
  <c r="CC53" i="21"/>
  <c r="CB53" i="21"/>
  <c r="CA53" i="21"/>
  <c r="BZ53" i="21"/>
  <c r="CC64" i="21"/>
  <c r="CB64" i="21"/>
  <c r="CA64" i="21"/>
  <c r="BZ64" i="21"/>
  <c r="O5" i="21"/>
  <c r="O6" i="21"/>
  <c r="O7" i="21"/>
  <c r="O8" i="21"/>
  <c r="O9" i="21"/>
  <c r="O10" i="21"/>
  <c r="O11" i="21"/>
  <c r="O12" i="21"/>
  <c r="O13" i="21"/>
  <c r="O14" i="21"/>
  <c r="O15" i="21"/>
  <c r="O16" i="21"/>
  <c r="O17" i="21"/>
  <c r="O18" i="21"/>
  <c r="O19" i="21"/>
  <c r="O20" i="21"/>
  <c r="O21" i="21"/>
  <c r="O22" i="21"/>
  <c r="O23" i="21"/>
  <c r="O24" i="21"/>
  <c r="O25" i="21"/>
  <c r="O26" i="21"/>
  <c r="O27" i="21"/>
  <c r="O28" i="21"/>
  <c r="O29" i="21"/>
  <c r="O30" i="21"/>
  <c r="O31" i="21"/>
  <c r="O32" i="21"/>
  <c r="O33" i="21"/>
  <c r="O34" i="21"/>
  <c r="O35" i="21"/>
  <c r="O36" i="21"/>
  <c r="O37" i="21"/>
  <c r="O38" i="21"/>
  <c r="O39" i="21"/>
  <c r="O40" i="21"/>
  <c r="O41" i="21"/>
  <c r="O42" i="21"/>
  <c r="O43" i="21"/>
  <c r="O44" i="21"/>
  <c r="O45" i="21"/>
  <c r="O46" i="21"/>
  <c r="O47" i="21"/>
  <c r="O48" i="21"/>
  <c r="O49" i="21"/>
  <c r="O50" i="21"/>
  <c r="O51" i="21"/>
  <c r="O52" i="21"/>
  <c r="O53" i="21"/>
  <c r="O54" i="21"/>
  <c r="O55" i="21"/>
  <c r="O56" i="21"/>
  <c r="O57" i="21"/>
  <c r="O58" i="21"/>
  <c r="O59" i="21"/>
  <c r="O60" i="21"/>
  <c r="O61" i="21"/>
  <c r="O62" i="21"/>
  <c r="O63" i="21"/>
  <c r="O64" i="21"/>
  <c r="O65" i="21"/>
  <c r="O66" i="21"/>
  <c r="O67" i="21"/>
  <c r="O68" i="21"/>
  <c r="O69" i="21"/>
  <c r="O70" i="21"/>
  <c r="O71" i="21"/>
  <c r="O72" i="21"/>
  <c r="O73" i="21"/>
  <c r="O74" i="21"/>
  <c r="O75" i="21"/>
  <c r="O76" i="21"/>
  <c r="O77" i="21"/>
  <c r="O78" i="21"/>
  <c r="O79" i="21"/>
  <c r="O80" i="21"/>
  <c r="O81" i="21"/>
  <c r="O82" i="21"/>
  <c r="O83" i="21"/>
  <c r="O84" i="21"/>
  <c r="O85" i="21"/>
  <c r="O86" i="21"/>
  <c r="O87" i="21"/>
  <c r="O88" i="21"/>
  <c r="Q66" i="21"/>
  <c r="Q67" i="21"/>
  <c r="Q68" i="21"/>
  <c r="Q69" i="21"/>
  <c r="Q70" i="21"/>
  <c r="Q71" i="21"/>
  <c r="Q72" i="21"/>
  <c r="Q73" i="21"/>
  <c r="Q74" i="21"/>
  <c r="Q75" i="21"/>
  <c r="Q76" i="21"/>
  <c r="Q77" i="21"/>
  <c r="Q78" i="21"/>
  <c r="Q79" i="21"/>
  <c r="Q80" i="21"/>
  <c r="Q81" i="21"/>
  <c r="Q82" i="21"/>
  <c r="Q83" i="21"/>
  <c r="Q84" i="21"/>
  <c r="Q85" i="21"/>
  <c r="Q86" i="21"/>
  <c r="Q87" i="21"/>
  <c r="Q88" i="21"/>
  <c r="Q65" i="21"/>
  <c r="Q64" i="21"/>
  <c r="Q63" i="21"/>
  <c r="Q62" i="21"/>
  <c r="Q61" i="21"/>
  <c r="Q60" i="21"/>
  <c r="Q59" i="21"/>
  <c r="Q58" i="21"/>
  <c r="Q57" i="21"/>
  <c r="Q56" i="21"/>
  <c r="Q55" i="21"/>
  <c r="Q54" i="21"/>
  <c r="Q53" i="21"/>
  <c r="Q42" i="21"/>
  <c r="Q41" i="21"/>
  <c r="Q18" i="21"/>
  <c r="Q17" i="21"/>
  <c r="K10" i="18"/>
  <c r="B6" i="21"/>
  <c r="B7" i="21" s="1"/>
  <c r="B8" i="21" s="1"/>
  <c r="B9" i="21" s="1"/>
  <c r="B10" i="21" s="1"/>
  <c r="B11" i="21" s="1"/>
  <c r="B12" i="21" s="1"/>
  <c r="B13" i="21" s="1"/>
  <c r="B14" i="21" s="1"/>
  <c r="B15" i="21" s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9" i="21"/>
  <c r="B60" i="2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I36" i="18"/>
  <c r="G40" i="18"/>
  <c r="I40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E21" i="18"/>
  <c r="G21" i="18"/>
  <c r="Q21" i="18"/>
  <c r="G39" i="18"/>
  <c r="I39" i="18"/>
  <c r="G38" i="18"/>
  <c r="G37" i="18"/>
  <c r="I37" i="18"/>
  <c r="C40" i="18"/>
  <c r="B40" i="18"/>
  <c r="C39" i="18"/>
  <c r="B39" i="18"/>
  <c r="C38" i="18"/>
  <c r="B38" i="18"/>
  <c r="C37" i="18"/>
  <c r="B37" i="18"/>
  <c r="L21" i="18"/>
  <c r="L20" i="18"/>
  <c r="L19" i="18"/>
  <c r="L18" i="18"/>
  <c r="K21" i="18"/>
  <c r="K20" i="18"/>
  <c r="K19" i="18"/>
  <c r="K18" i="18"/>
  <c r="E20" i="18"/>
  <c r="G20" i="18"/>
  <c r="Q20" i="18"/>
  <c r="E19" i="18"/>
  <c r="G19" i="18"/>
  <c r="Q19" i="18"/>
  <c r="E18" i="18"/>
  <c r="G18" i="18"/>
  <c r="C36" i="18"/>
  <c r="B36" i="18"/>
  <c r="L17" i="18"/>
  <c r="K17" i="18"/>
  <c r="G17" i="18"/>
  <c r="Q17" i="18"/>
  <c r="L16" i="18"/>
  <c r="K16" i="18"/>
  <c r="E16" i="18"/>
  <c r="G16" i="18"/>
  <c r="B35" i="18"/>
  <c r="C35" i="18"/>
  <c r="G35" i="18"/>
  <c r="I35" i="18"/>
  <c r="G34" i="18"/>
  <c r="I34" i="18"/>
  <c r="H15" i="18"/>
  <c r="L15" i="18"/>
  <c r="K15" i="18"/>
  <c r="E15" i="18"/>
  <c r="G15" i="18"/>
  <c r="B34" i="18"/>
  <c r="C34" i="18"/>
  <c r="E14" i="18"/>
  <c r="G14" i="18"/>
  <c r="N14" i="18"/>
  <c r="K14" i="18"/>
  <c r="L14" i="18"/>
  <c r="B33" i="18"/>
  <c r="C33" i="18"/>
  <c r="G33" i="18"/>
  <c r="I33" i="18"/>
  <c r="F13" i="18"/>
  <c r="F11" i="18"/>
  <c r="F10" i="18"/>
  <c r="K13" i="18"/>
  <c r="L13" i="18"/>
  <c r="E13" i="18"/>
  <c r="B32" i="18"/>
  <c r="C32" i="18"/>
  <c r="G32" i="18"/>
  <c r="I32" i="18"/>
  <c r="E10" i="18"/>
  <c r="E11" i="18"/>
  <c r="E12" i="18"/>
  <c r="G12" i="18"/>
  <c r="Q12" i="18"/>
  <c r="G31" i="18"/>
  <c r="I31" i="18"/>
  <c r="K12" i="18"/>
  <c r="K11" i="18"/>
  <c r="L12" i="18"/>
  <c r="L11" i="18"/>
  <c r="L10" i="18"/>
  <c r="B31" i="18"/>
  <c r="B30" i="18"/>
  <c r="B29" i="18"/>
  <c r="C31" i="18"/>
  <c r="C30" i="18"/>
  <c r="C29" i="18"/>
  <c r="G30" i="18"/>
  <c r="I30" i="18"/>
  <c r="G29" i="18"/>
  <c r="I29" i="18"/>
  <c r="G97" i="18"/>
  <c r="F97" i="18"/>
  <c r="E97" i="18"/>
  <c r="D97" i="18"/>
  <c r="C97" i="18"/>
  <c r="G96" i="18"/>
  <c r="F96" i="18"/>
  <c r="E96" i="18"/>
  <c r="D96" i="18"/>
  <c r="C96" i="18"/>
  <c r="G95" i="18"/>
  <c r="F95" i="18"/>
  <c r="E95" i="18"/>
  <c r="D95" i="18"/>
  <c r="C95" i="18"/>
  <c r="B97" i="18"/>
  <c r="B96" i="18"/>
  <c r="B95" i="18"/>
  <c r="A68" i="18"/>
  <c r="A69" i="18"/>
  <c r="A70" i="18"/>
  <c r="A71" i="18"/>
  <c r="A72" i="18"/>
  <c r="A73" i="18"/>
  <c r="A74" i="18"/>
  <c r="A75" i="18"/>
  <c r="A76" i="18"/>
  <c r="A77" i="18"/>
  <c r="A78" i="18"/>
  <c r="A52" i="18"/>
  <c r="A53" i="18"/>
  <c r="A54" i="18"/>
  <c r="A55" i="18"/>
  <c r="A56" i="18"/>
  <c r="A57" i="18"/>
  <c r="A58" i="18"/>
  <c r="A59" i="18"/>
  <c r="A60" i="18"/>
  <c r="A61" i="18"/>
  <c r="A62" i="18"/>
  <c r="H41" i="18"/>
  <c r="A30" i="18"/>
  <c r="A31" i="18"/>
  <c r="A32" i="18"/>
  <c r="A33" i="18"/>
  <c r="A34" i="18"/>
  <c r="A35" i="18"/>
  <c r="A36" i="18"/>
  <c r="A37" i="18"/>
  <c r="A38" i="18"/>
  <c r="A39" i="18"/>
  <c r="A40" i="18"/>
  <c r="J22" i="18"/>
  <c r="I22" i="18"/>
  <c r="D22" i="18"/>
  <c r="C22" i="18"/>
  <c r="B22" i="18"/>
  <c r="A11" i="18"/>
  <c r="A12" i="18"/>
  <c r="A13" i="18"/>
  <c r="A14" i="18"/>
  <c r="A15" i="18"/>
  <c r="A16" i="18"/>
  <c r="A17" i="18"/>
  <c r="A18" i="18"/>
  <c r="A19" i="18"/>
  <c r="A20" i="18"/>
  <c r="A21" i="18"/>
  <c r="E21" i="17"/>
  <c r="G21" i="17"/>
  <c r="K21" i="17"/>
  <c r="F78" i="17"/>
  <c r="C40" i="17"/>
  <c r="B40" i="17"/>
  <c r="E40" i="17"/>
  <c r="F77" i="17"/>
  <c r="E39" i="17"/>
  <c r="C39" i="17"/>
  <c r="B39" i="17"/>
  <c r="K20" i="17"/>
  <c r="E20" i="17"/>
  <c r="G20" i="17"/>
  <c r="E19" i="17"/>
  <c r="G19" i="17"/>
  <c r="K19" i="17"/>
  <c r="C38" i="17"/>
  <c r="B38" i="17"/>
  <c r="E38" i="17"/>
  <c r="F76" i="17"/>
  <c r="K18" i="17"/>
  <c r="C37" i="17"/>
  <c r="B37" i="17"/>
  <c r="F75" i="17"/>
  <c r="G18" i="17"/>
  <c r="E37" i="17"/>
  <c r="E17" i="17"/>
  <c r="G17" i="17"/>
  <c r="C36" i="17"/>
  <c r="B36" i="17"/>
  <c r="K17" i="17"/>
  <c r="F74" i="17"/>
  <c r="E36" i="17"/>
  <c r="F73" i="17"/>
  <c r="F72" i="17"/>
  <c r="F71" i="17"/>
  <c r="F70" i="17"/>
  <c r="F69" i="17"/>
  <c r="F68" i="17"/>
  <c r="F67" i="17"/>
  <c r="H13" i="17"/>
  <c r="K16" i="17"/>
  <c r="E16" i="17"/>
  <c r="G16" i="17"/>
  <c r="E35" i="17"/>
  <c r="C35" i="17"/>
  <c r="B35" i="17"/>
  <c r="K15" i="17"/>
  <c r="E15" i="17"/>
  <c r="G15" i="17"/>
  <c r="C34" i="17"/>
  <c r="B34" i="17"/>
  <c r="E34" i="17"/>
  <c r="K14" i="17"/>
  <c r="E14" i="17"/>
  <c r="G14" i="17"/>
  <c r="C33" i="17"/>
  <c r="B33" i="17"/>
  <c r="E33" i="17"/>
  <c r="E13" i="17"/>
  <c r="G13" i="17"/>
  <c r="L13" i="17"/>
  <c r="K13" i="17"/>
  <c r="C32" i="17"/>
  <c r="B32" i="17"/>
  <c r="E32" i="17"/>
  <c r="K12" i="17"/>
  <c r="G12" i="17"/>
  <c r="O12" i="17"/>
  <c r="C31" i="17"/>
  <c r="B31" i="17"/>
  <c r="E31" i="17"/>
  <c r="C30" i="17"/>
  <c r="B30" i="17"/>
  <c r="E11" i="17"/>
  <c r="G11" i="17"/>
  <c r="O11" i="17"/>
  <c r="E30" i="17"/>
  <c r="C29" i="17"/>
  <c r="B29" i="17"/>
  <c r="E10" i="17"/>
  <c r="G10" i="17"/>
  <c r="L10" i="17"/>
  <c r="E29" i="17"/>
  <c r="B97" i="17"/>
  <c r="B96" i="17"/>
  <c r="G97" i="17"/>
  <c r="F97" i="17"/>
  <c r="E97" i="17"/>
  <c r="D97" i="17"/>
  <c r="C97" i="17"/>
  <c r="G96" i="17"/>
  <c r="F96" i="17"/>
  <c r="E96" i="17"/>
  <c r="D96" i="17"/>
  <c r="C96" i="17"/>
  <c r="G95" i="17"/>
  <c r="F95" i="17"/>
  <c r="E95" i="17"/>
  <c r="D95" i="17"/>
  <c r="C95" i="17"/>
  <c r="B95" i="17"/>
  <c r="A68" i="17"/>
  <c r="A69" i="17"/>
  <c r="A70" i="17"/>
  <c r="A71" i="17"/>
  <c r="A72" i="17"/>
  <c r="A73" i="17"/>
  <c r="A74" i="17"/>
  <c r="A75" i="17"/>
  <c r="A76" i="17"/>
  <c r="A77" i="17"/>
  <c r="A78" i="17"/>
  <c r="A52" i="17"/>
  <c r="A53" i="17"/>
  <c r="A54" i="17"/>
  <c r="A55" i="17"/>
  <c r="A56" i="17"/>
  <c r="A57" i="17"/>
  <c r="A58" i="17"/>
  <c r="A59" i="17"/>
  <c r="A60" i="17"/>
  <c r="A61" i="17"/>
  <c r="A62" i="17"/>
  <c r="A30" i="17"/>
  <c r="A31" i="17"/>
  <c r="A32" i="17"/>
  <c r="A33" i="17"/>
  <c r="A34" i="17"/>
  <c r="A35" i="17"/>
  <c r="A36" i="17"/>
  <c r="A37" i="17"/>
  <c r="A38" i="17"/>
  <c r="A39" i="17"/>
  <c r="A40" i="17"/>
  <c r="A11" i="17"/>
  <c r="A12" i="17"/>
  <c r="A13" i="17"/>
  <c r="A14" i="17"/>
  <c r="A15" i="17"/>
  <c r="A16" i="17"/>
  <c r="A17" i="17"/>
  <c r="A18" i="17"/>
  <c r="A19" i="17"/>
  <c r="A20" i="17"/>
  <c r="A21" i="17"/>
  <c r="G41" i="17"/>
  <c r="F41" i="17"/>
  <c r="J22" i="17"/>
  <c r="I22" i="17"/>
  <c r="F22" i="17"/>
  <c r="D22" i="17"/>
  <c r="B22" i="17"/>
  <c r="C22" i="17"/>
  <c r="K11" i="17"/>
  <c r="K10" i="17"/>
  <c r="Q21" i="7"/>
  <c r="Q23" i="7"/>
  <c r="Q14" i="7"/>
  <c r="Q16" i="7"/>
  <c r="Q7" i="7"/>
  <c r="P22" i="7"/>
  <c r="P21" i="7"/>
  <c r="P20" i="7"/>
  <c r="P19" i="7"/>
  <c r="P15" i="7"/>
  <c r="P14" i="7"/>
  <c r="P13" i="7"/>
  <c r="P12" i="7"/>
  <c r="N23" i="7"/>
  <c r="R22" i="7"/>
  <c r="R20" i="7"/>
  <c r="R19" i="7"/>
  <c r="N16" i="7"/>
  <c r="R15" i="7"/>
  <c r="R13" i="7"/>
  <c r="R12" i="7"/>
  <c r="N9" i="7"/>
  <c r="R8" i="7"/>
  <c r="R6" i="7"/>
  <c r="R5" i="7"/>
  <c r="G8" i="7"/>
  <c r="G7" i="7"/>
  <c r="G6" i="7"/>
  <c r="G5" i="7"/>
  <c r="I8" i="11"/>
  <c r="I7" i="11"/>
  <c r="I6" i="11"/>
  <c r="I5" i="11"/>
  <c r="O22" i="11"/>
  <c r="O21" i="11"/>
  <c r="O20" i="11"/>
  <c r="O19" i="11"/>
  <c r="O15" i="11"/>
  <c r="O14" i="11"/>
  <c r="O13" i="11"/>
  <c r="O12" i="11"/>
  <c r="O8" i="11"/>
  <c r="O7" i="11"/>
  <c r="O6" i="11"/>
  <c r="O5" i="11"/>
  <c r="N22" i="11"/>
  <c r="N21" i="11"/>
  <c r="N20" i="11"/>
  <c r="N19" i="11"/>
  <c r="N15" i="11"/>
  <c r="N14" i="11"/>
  <c r="N13" i="11"/>
  <c r="N12" i="11"/>
  <c r="N8" i="11"/>
  <c r="N7" i="11"/>
  <c r="N6" i="11"/>
  <c r="N5" i="11"/>
  <c r="M22" i="11"/>
  <c r="M21" i="11"/>
  <c r="M20" i="11"/>
  <c r="M19" i="11"/>
  <c r="M15" i="11"/>
  <c r="M14" i="11"/>
  <c r="M13" i="11"/>
  <c r="M12" i="11"/>
  <c r="M8" i="11"/>
  <c r="M7" i="11"/>
  <c r="M6" i="11"/>
  <c r="M5" i="11"/>
  <c r="D23" i="11"/>
  <c r="B23" i="11"/>
  <c r="I22" i="11"/>
  <c r="G22" i="11"/>
  <c r="I21" i="11"/>
  <c r="G21" i="11"/>
  <c r="I20" i="11"/>
  <c r="G20" i="11"/>
  <c r="I19" i="11"/>
  <c r="G19" i="11"/>
  <c r="D16" i="11"/>
  <c r="B16" i="11"/>
  <c r="I15" i="11"/>
  <c r="G15" i="11"/>
  <c r="I14" i="11"/>
  <c r="G14" i="11"/>
  <c r="I13" i="11"/>
  <c r="G13" i="11"/>
  <c r="I12" i="11"/>
  <c r="G12" i="11"/>
  <c r="D9" i="11"/>
  <c r="B9" i="11"/>
  <c r="W3" i="11"/>
  <c r="J22" i="7"/>
  <c r="J21" i="7"/>
  <c r="J20" i="7"/>
  <c r="J19" i="7"/>
  <c r="J15" i="7"/>
  <c r="J14" i="7"/>
  <c r="J13" i="7"/>
  <c r="J12" i="7"/>
  <c r="J8" i="7"/>
  <c r="J6" i="7"/>
  <c r="J5" i="7"/>
  <c r="C16" i="7"/>
  <c r="H22" i="7"/>
  <c r="H21" i="7"/>
  <c r="H20" i="7"/>
  <c r="H19" i="7"/>
  <c r="H15" i="7"/>
  <c r="H14" i="7"/>
  <c r="H13" i="7"/>
  <c r="H12" i="7"/>
  <c r="H8" i="7"/>
  <c r="I8" i="7"/>
  <c r="H7" i="7"/>
  <c r="I7" i="7"/>
  <c r="H6" i="7"/>
  <c r="H5" i="7"/>
  <c r="I5" i="7"/>
  <c r="G22" i="7"/>
  <c r="I22" i="7"/>
  <c r="G21" i="7"/>
  <c r="I21" i="7"/>
  <c r="G20" i="7"/>
  <c r="I20" i="7"/>
  <c r="G19" i="7"/>
  <c r="I19" i="7"/>
  <c r="G15" i="7"/>
  <c r="I15" i="7"/>
  <c r="G14" i="7"/>
  <c r="I14" i="7"/>
  <c r="G13" i="7"/>
  <c r="I13" i="7"/>
  <c r="G12" i="7"/>
  <c r="I12" i="7"/>
  <c r="C23" i="7"/>
  <c r="B23" i="7"/>
  <c r="B16" i="7"/>
  <c r="C9" i="7"/>
  <c r="B9" i="7"/>
  <c r="E22" i="7"/>
  <c r="E21" i="7"/>
  <c r="E20" i="7"/>
  <c r="E19" i="7"/>
  <c r="E15" i="7"/>
  <c r="E14" i="7"/>
  <c r="E13" i="7"/>
  <c r="E12" i="7"/>
  <c r="L12" i="17"/>
  <c r="D36" i="18"/>
  <c r="P20" i="11"/>
  <c r="R19" i="11"/>
  <c r="D40" i="18"/>
  <c r="M12" i="17"/>
  <c r="M11" i="18"/>
  <c r="N12" i="17"/>
  <c r="R21" i="7"/>
  <c r="D34" i="18"/>
  <c r="M18" i="18"/>
  <c r="B25" i="7"/>
  <c r="F22" i="18"/>
  <c r="N17" i="18"/>
  <c r="R22" i="11"/>
  <c r="R6" i="11"/>
  <c r="D31" i="18"/>
  <c r="M10" i="18"/>
  <c r="Q8" i="11"/>
  <c r="N21" i="18"/>
  <c r="I16" i="7"/>
  <c r="H9" i="7"/>
  <c r="P15" i="11"/>
  <c r="P8" i="11"/>
  <c r="R12" i="18"/>
  <c r="Q19" i="11"/>
  <c r="P12" i="11"/>
  <c r="D32" i="18"/>
  <c r="J23" i="7"/>
  <c r="M15" i="18"/>
  <c r="Q13" i="11"/>
  <c r="M17" i="18"/>
  <c r="K36" i="18"/>
  <c r="S12" i="18"/>
  <c r="C25" i="7"/>
  <c r="C41" i="17"/>
  <c r="D29" i="18"/>
  <c r="M20" i="18"/>
  <c r="Q7" i="11"/>
  <c r="P14" i="11"/>
  <c r="P21" i="11"/>
  <c r="R7" i="11"/>
  <c r="D33" i="18"/>
  <c r="Q21" i="11"/>
  <c r="M14" i="18"/>
  <c r="D39" i="18"/>
  <c r="H16" i="7"/>
  <c r="R12" i="11"/>
  <c r="B25" i="11"/>
  <c r="C16" i="11"/>
  <c r="E22" i="17"/>
  <c r="G25" i="11"/>
  <c r="J9" i="7"/>
  <c r="N20" i="18"/>
  <c r="J16" i="7"/>
  <c r="Q22" i="11"/>
  <c r="P13" i="11"/>
  <c r="Q20" i="11"/>
  <c r="R23" i="7"/>
  <c r="K22" i="17"/>
  <c r="E25" i="7"/>
  <c r="G10" i="18"/>
  <c r="S10" i="18"/>
  <c r="R15" i="11"/>
  <c r="I6" i="7"/>
  <c r="I9" i="7"/>
  <c r="H23" i="7"/>
  <c r="P19" i="11"/>
  <c r="M13" i="17"/>
  <c r="H16" i="18"/>
  <c r="R16" i="18"/>
  <c r="O10" i="17"/>
  <c r="Q12" i="11"/>
  <c r="I23" i="7"/>
  <c r="N10" i="17"/>
  <c r="L22" i="18"/>
  <c r="M10" i="17"/>
  <c r="S20" i="18"/>
  <c r="R8" i="11"/>
  <c r="G11" i="18"/>
  <c r="S11" i="18"/>
  <c r="M16" i="18"/>
  <c r="M21" i="18"/>
  <c r="P7" i="11"/>
  <c r="R20" i="18"/>
  <c r="N12" i="18"/>
  <c r="Q15" i="11"/>
  <c r="R20" i="11"/>
  <c r="M12" i="18"/>
  <c r="N19" i="18"/>
  <c r="S15" i="18"/>
  <c r="R15" i="18"/>
  <c r="N15" i="18"/>
  <c r="Q15" i="18"/>
  <c r="G13" i="18"/>
  <c r="E22" i="18"/>
  <c r="I38" i="18"/>
  <c r="G41" i="18"/>
  <c r="I41" i="18"/>
  <c r="Q6" i="11"/>
  <c r="R7" i="7"/>
  <c r="R9" i="7"/>
  <c r="Q9" i="7"/>
  <c r="Q25" i="7"/>
  <c r="D30" i="18"/>
  <c r="C41" i="18"/>
  <c r="Q18" i="18"/>
  <c r="S18" i="18"/>
  <c r="R18" i="18"/>
  <c r="N18" i="18"/>
  <c r="G22" i="17"/>
  <c r="Q5" i="11"/>
  <c r="P5" i="11"/>
  <c r="R5" i="11"/>
  <c r="E41" i="17"/>
  <c r="D35" i="18"/>
  <c r="K22" i="18"/>
  <c r="M13" i="18"/>
  <c r="P6" i="11"/>
  <c r="R14" i="7"/>
  <c r="R16" i="7"/>
  <c r="L14" i="17"/>
  <c r="S21" i="18"/>
  <c r="R21" i="18"/>
  <c r="M11" i="17"/>
  <c r="R13" i="11"/>
  <c r="H14" i="17"/>
  <c r="N14" i="17"/>
  <c r="N13" i="17"/>
  <c r="B41" i="18"/>
  <c r="S19" i="18"/>
  <c r="P22" i="11"/>
  <c r="D25" i="11"/>
  <c r="Q14" i="11"/>
  <c r="N25" i="7"/>
  <c r="D37" i="18"/>
  <c r="R19" i="18"/>
  <c r="O13" i="17"/>
  <c r="L11" i="17"/>
  <c r="S14" i="18"/>
  <c r="R14" i="18"/>
  <c r="N11" i="17"/>
  <c r="R17" i="18"/>
  <c r="R21" i="11"/>
  <c r="P25" i="7"/>
  <c r="M19" i="18"/>
  <c r="S17" i="18"/>
  <c r="Q14" i="18"/>
  <c r="R14" i="11"/>
  <c r="D38" i="18"/>
  <c r="J25" i="7"/>
  <c r="K37" i="18"/>
  <c r="K40" i="18"/>
  <c r="R10" i="18"/>
  <c r="K34" i="18"/>
  <c r="K29" i="18"/>
  <c r="Q11" i="18"/>
  <c r="K31" i="18"/>
  <c r="K32" i="18"/>
  <c r="K35" i="18"/>
  <c r="H25" i="7"/>
  <c r="Q26" i="7"/>
  <c r="Q27" i="7"/>
  <c r="G22" i="18"/>
  <c r="K33" i="18"/>
  <c r="N10" i="18"/>
  <c r="N11" i="18"/>
  <c r="R11" i="18"/>
  <c r="I25" i="7"/>
  <c r="Q10" i="18"/>
  <c r="K39" i="18"/>
  <c r="H22" i="18"/>
  <c r="S16" i="18"/>
  <c r="E27" i="7"/>
  <c r="C23" i="11"/>
  <c r="C9" i="11"/>
  <c r="K38" i="18"/>
  <c r="Q16" i="18"/>
  <c r="M14" i="17"/>
  <c r="N16" i="18"/>
  <c r="D41" i="18"/>
  <c r="K30" i="18"/>
  <c r="R25" i="7"/>
  <c r="M22" i="18"/>
  <c r="E9" i="11"/>
  <c r="E23" i="11"/>
  <c r="E16" i="11"/>
  <c r="S13" i="18"/>
  <c r="R13" i="18"/>
  <c r="Q13" i="18"/>
  <c r="N13" i="18"/>
  <c r="L15" i="17"/>
  <c r="H15" i="17"/>
  <c r="O14" i="17"/>
  <c r="R22" i="18"/>
  <c r="R30" i="7"/>
  <c r="R31" i="7"/>
  <c r="K41" i="18"/>
  <c r="N22" i="18"/>
  <c r="P22" i="18"/>
  <c r="S22" i="18"/>
  <c r="Q22" i="18"/>
  <c r="M15" i="17"/>
  <c r="O15" i="17"/>
  <c r="N15" i="17"/>
  <c r="L16" i="17"/>
  <c r="H16" i="17"/>
  <c r="N24" i="18"/>
  <c r="M16" i="17"/>
  <c r="L17" i="17"/>
  <c r="H17" i="17"/>
  <c r="N16" i="17"/>
  <c r="O16" i="17"/>
  <c r="H18" i="17"/>
  <c r="N17" i="17"/>
  <c r="M17" i="17"/>
  <c r="O17" i="17"/>
  <c r="L18" i="17"/>
  <c r="H19" i="17"/>
  <c r="L19" i="17"/>
  <c r="M18" i="17"/>
  <c r="O18" i="17"/>
  <c r="N18" i="17"/>
  <c r="O19" i="17"/>
  <c r="H20" i="17"/>
  <c r="M19" i="17"/>
  <c r="L20" i="17"/>
  <c r="N19" i="17"/>
  <c r="L21" i="17"/>
  <c r="L22" i="17"/>
  <c r="L24" i="17"/>
  <c r="N20" i="17"/>
  <c r="O20" i="17"/>
  <c r="H21" i="17"/>
  <c r="M20" i="17"/>
  <c r="O21" i="17"/>
  <c r="O22" i="17"/>
  <c r="N21" i="17"/>
  <c r="N22" i="17"/>
  <c r="M21" i="17"/>
  <c r="M22" i="17"/>
  <c r="H22" i="17"/>
  <c r="M68" i="34" l="1"/>
  <c r="L61" i="34"/>
  <c r="M61" i="34"/>
  <c r="L67" i="34"/>
  <c r="M67" i="34"/>
  <c r="M59" i="34"/>
  <c r="L59" i="34"/>
  <c r="M58" i="34"/>
  <c r="M64" i="34"/>
  <c r="L64" i="34"/>
  <c r="M63" i="34"/>
  <c r="L63" i="34"/>
  <c r="L66" i="33"/>
  <c r="L62" i="33"/>
  <c r="M63" i="33"/>
  <c r="M61" i="33"/>
  <c r="L60" i="33"/>
  <c r="M58" i="33"/>
  <c r="K69" i="34"/>
  <c r="L69" i="34" s="1"/>
  <c r="M57" i="34"/>
  <c r="L57" i="34"/>
  <c r="H33" i="33"/>
  <c r="B51" i="33"/>
  <c r="D39" i="33"/>
  <c r="H40" i="33" s="1"/>
  <c r="H45" i="33" s="1"/>
  <c r="H47" i="33" s="1"/>
  <c r="Q19" i="21"/>
  <c r="CN20" i="21"/>
  <c r="CN7" i="21"/>
  <c r="Q6" i="21"/>
  <c r="Q43" i="21"/>
  <c r="CN44" i="21"/>
  <c r="CN31" i="21"/>
  <c r="Q30" i="21"/>
  <c r="Q5" i="21"/>
  <c r="Q29" i="21"/>
  <c r="M69" i="34" l="1"/>
  <c r="M57" i="33"/>
  <c r="M69" i="33" s="1"/>
  <c r="K69" i="33"/>
  <c r="L69" i="33" s="1"/>
  <c r="CN32" i="21"/>
  <c r="Q31" i="21"/>
  <c r="CN8" i="21"/>
  <c r="Q7" i="21"/>
  <c r="CN21" i="21"/>
  <c r="Q20" i="21"/>
  <c r="CN45" i="21"/>
  <c r="Q44" i="21"/>
  <c r="CN22" i="21" l="1"/>
  <c r="Q21" i="21"/>
  <c r="CN9" i="21"/>
  <c r="Q8" i="21"/>
  <c r="CN33" i="21"/>
  <c r="Q32" i="21"/>
  <c r="CN46" i="21"/>
  <c r="Q45" i="21"/>
  <c r="CN47" i="21" l="1"/>
  <c r="Q46" i="21"/>
  <c r="Q33" i="21"/>
  <c r="CN34" i="21"/>
  <c r="Q9" i="21"/>
  <c r="CN10" i="21"/>
  <c r="CN23" i="21"/>
  <c r="Q22" i="21"/>
  <c r="CN24" i="21" l="1"/>
  <c r="Q23" i="21"/>
  <c r="CN48" i="21"/>
  <c r="Q47" i="21"/>
  <c r="Q10" i="21"/>
  <c r="CN11" i="21"/>
  <c r="Q34" i="21"/>
  <c r="CN35" i="21"/>
  <c r="CN49" i="21" l="1"/>
  <c r="Q48" i="21"/>
  <c r="Q35" i="21"/>
  <c r="CN36" i="21"/>
  <c r="Q11" i="21"/>
  <c r="CN12" i="21"/>
  <c r="CN25" i="21"/>
  <c r="Q24" i="21"/>
  <c r="Q25" i="21" l="1"/>
  <c r="CN26" i="21"/>
  <c r="CN13" i="21"/>
  <c r="Q12" i="21"/>
  <c r="CN37" i="21"/>
  <c r="Q36" i="21"/>
  <c r="Q49" i="21"/>
  <c r="CN50" i="21"/>
  <c r="CN38" i="21" l="1"/>
  <c r="Q37" i="21"/>
  <c r="Q50" i="21"/>
  <c r="CN51" i="21"/>
  <c r="CN14" i="21"/>
  <c r="Q13" i="21"/>
  <c r="Q26" i="21"/>
  <c r="CN27" i="21"/>
  <c r="Q27" i="21" l="1"/>
  <c r="CN28" i="21"/>
  <c r="Q28" i="21" s="1"/>
  <c r="CN15" i="21"/>
  <c r="Q14" i="21"/>
  <c r="Q51" i="21"/>
  <c r="CN52" i="21"/>
  <c r="Q52" i="21" s="1"/>
  <c r="CN39" i="21"/>
  <c r="Q38" i="21"/>
  <c r="CN40" i="21" l="1"/>
  <c r="Q40" i="21" s="1"/>
  <c r="Q39" i="21"/>
  <c r="CN16" i="21"/>
  <c r="Q16" i="21" s="1"/>
  <c r="Q15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Keefe, Johanna</author>
  </authors>
  <commentList>
    <comment ref="CN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Pooled Claims
</t>
        </r>
      </text>
    </comment>
    <comment ref="R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S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T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U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V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Z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AD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AE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AF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AG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AH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AL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AP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AQ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AR3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AS3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AT3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AX3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BB3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BC3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BD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BE3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BF3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BJ3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BN3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BO3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BP3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BQ3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BR3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BV3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BZ3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CA3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CB3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CC3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CD3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  <comment ref="CH3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Renewal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Keefe, Johanna</author>
  </authors>
  <commentList>
    <comment ref="L20" authorId="0" shapeId="0" xr:uid="{AF0C85AF-B0BB-4BB7-B04E-0D407E948A05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Cigna contract is a 12/18</t>
        </r>
      </text>
    </comment>
    <comment ref="B56" authorId="0" shapeId="0" xr:uid="{D7C33620-23DB-4440-917C-F3109061DB8F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assuming 100% utilization</t>
        </r>
      </text>
    </comment>
    <comment ref="E56" authorId="0" shapeId="0" xr:uid="{97EBB8EC-367A-457B-AAEC-50AE7BAC7013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assuming 100% utilization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Keefe, Johanna</author>
  </authors>
  <commentList>
    <comment ref="L20" authorId="0" shapeId="0" xr:uid="{A54FD215-89F7-4B00-AC35-1C158641BAFE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Cigna contract is a 12/18</t>
        </r>
      </text>
    </comment>
    <comment ref="B56" authorId="0" shapeId="0" xr:uid="{E6884C4A-E182-4634-B78C-00798474FEB4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assuming 100% utilization</t>
        </r>
      </text>
    </comment>
    <comment ref="E56" authorId="0" shapeId="0" xr:uid="{E4BC084F-7BBD-4E50-9A6E-E27039A53856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assuming 100% utilization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Keefe, Johanna</author>
  </authors>
  <commentList>
    <comment ref="L20" authorId="0" shapeId="0" xr:uid="{25FC288A-E27E-48A5-B1B9-38D0E22DB35E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Cigna contract is a 12/18</t>
        </r>
      </text>
    </comment>
    <comment ref="B56" authorId="0" shapeId="0" xr:uid="{63523E27-48E3-400C-AF80-D5A9211195F5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assuming 100% utilization</t>
        </r>
      </text>
    </comment>
    <comment ref="E56" authorId="0" shapeId="0" xr:uid="{3579B7FF-0EAF-4039-B86C-0666C8E7E91C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assuming 100% utilization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Keefe, Johanna</author>
    <author>Rachel Thompson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OAP High Plan
From Monthly Paid Claims Report</t>
        </r>
      </text>
    </comment>
    <comment ref="C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HDHP Open Access Network</t>
        </r>
      </text>
    </comment>
    <comment ref="D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OAP Low Plan</t>
        </r>
      </text>
    </comment>
    <comment ref="F9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All Extra Charges- from Monthly paid claims report</t>
        </r>
      </text>
    </comment>
    <comment ref="H9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the aggregate accounting statement toward the end. Take the YTD and subtract previous amounts</t>
        </r>
      </text>
    </comment>
    <comment ref="I9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the Aggregate accounting statement</t>
        </r>
      </text>
    </comment>
    <comment ref="J9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the invoice</t>
        </r>
      </text>
    </comment>
    <comment ref="J13" authorId="1" shapeId="0" xr:uid="{00000000-0006-0000-0300-000008000000}">
      <text>
        <r>
          <rPr>
            <b/>
            <sz val="9"/>
            <color indexed="81"/>
            <rFont val="Tahoma"/>
            <family val="2"/>
          </rPr>
          <t>Rachel Thompson:</t>
        </r>
        <r>
          <rPr>
            <sz val="9"/>
            <color indexed="81"/>
            <rFont val="Tahoma"/>
            <family val="2"/>
          </rPr>
          <t xml:space="preserve">
Current month premium: $34,058.43
$85,969.76 paid from Cigna for surplus</t>
        </r>
      </text>
    </comment>
    <comment ref="J14" authorId="1" shapeId="0" xr:uid="{00000000-0006-0000-0300-000009000000}">
      <text>
        <r>
          <rPr>
            <b/>
            <sz val="9"/>
            <color indexed="81"/>
            <rFont val="Tahoma"/>
            <family val="2"/>
          </rPr>
          <t>Rachel Thompson:</t>
        </r>
        <r>
          <rPr>
            <sz val="9"/>
            <color indexed="81"/>
            <rFont val="Tahoma"/>
            <family val="2"/>
          </rPr>
          <t xml:space="preserve">
Balance Forward: -51,590.40
Discretionary Billing: -216
Current Premium: 34,012.87</t>
        </r>
      </text>
    </comment>
    <comment ref="J15" authorId="1" shapeId="0" xr:uid="{00000000-0006-0000-0300-00000A000000}">
      <text>
        <r>
          <rPr>
            <b/>
            <sz val="9"/>
            <color indexed="81"/>
            <rFont val="Tahoma"/>
            <family val="2"/>
          </rPr>
          <t>Rachel Thompson:</t>
        </r>
        <r>
          <rPr>
            <sz val="9"/>
            <color indexed="81"/>
            <rFont val="Tahoma"/>
            <family val="2"/>
          </rPr>
          <t xml:space="preserve">
Current Premium: $34,364.99
($17,793.53) surplus applied
$16,923.58 total</t>
        </r>
      </text>
    </comment>
    <comment ref="B50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MOAP0017</t>
        </r>
      </text>
    </comment>
    <comment ref="F50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MHDHP0004</t>
        </r>
      </text>
    </comment>
    <comment ref="B66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MOAP0015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Keefe, Johanna</author>
  </authors>
  <commentList>
    <comment ref="B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OAP High Plan</t>
        </r>
      </text>
    </comment>
    <comment ref="C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HDHP Open Access Network</t>
        </r>
      </text>
    </comment>
    <comment ref="D9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OAP Low Plan</t>
        </r>
      </text>
    </comment>
    <comment ref="H9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the aggregate accounting statement toward the end. Take the YTD and subtract previous amounts</t>
        </r>
      </text>
    </comment>
    <comment ref="I9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the Aggregate accounting statement</t>
        </r>
      </text>
    </comment>
    <comment ref="J9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the invoice</t>
        </r>
      </text>
    </comment>
    <comment ref="B50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MOAP0017</t>
        </r>
      </text>
    </comment>
    <comment ref="F50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MHDHP0004</t>
        </r>
      </text>
    </comment>
    <comment ref="B66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MOAP0015</t>
        </r>
      </text>
    </comment>
  </commentList>
</comments>
</file>

<file path=xl/sharedStrings.xml><?xml version="1.0" encoding="utf-8"?>
<sst xmlns="http://schemas.openxmlformats.org/spreadsheetml/2006/main" count="907" uniqueCount="218">
  <si>
    <t>Employee Benefits</t>
  </si>
  <si>
    <t>PPO</t>
  </si>
  <si>
    <t>Vision</t>
  </si>
  <si>
    <t xml:space="preserve">Medical </t>
  </si>
  <si>
    <t>Single</t>
  </si>
  <si>
    <t xml:space="preserve">Family </t>
  </si>
  <si>
    <t>2 Person</t>
  </si>
  <si>
    <t>Famiy</t>
  </si>
  <si>
    <t>Family</t>
  </si>
  <si>
    <t>Dental</t>
  </si>
  <si>
    <t>Premium Rate</t>
  </si>
  <si>
    <t>CDHP 1500</t>
  </si>
  <si>
    <t>CDHP 2500</t>
  </si>
  <si>
    <t>EE+Children</t>
  </si>
  <si>
    <t>count</t>
  </si>
  <si>
    <t>H.S.A.</t>
  </si>
  <si>
    <t>total</t>
  </si>
  <si>
    <t>TOTAL</t>
  </si>
  <si>
    <t>prem equivalent</t>
  </si>
  <si>
    <t>mo bcbs premium</t>
  </si>
  <si>
    <t>% change enrollment</t>
  </si>
  <si>
    <t>tier 1</t>
  </si>
  <si>
    <t>tier 2</t>
  </si>
  <si>
    <t>tier 3</t>
  </si>
  <si>
    <t>monthly ee</t>
  </si>
  <si>
    <t>biweekly ee</t>
  </si>
  <si>
    <t>monthly er</t>
  </si>
  <si>
    <t>most expensive F and highest enrollmrnt</t>
  </si>
  <si>
    <t>most expensive D and highest enrollmrnt</t>
  </si>
  <si>
    <t>most expensive S, close in enrlmt to PPO</t>
  </si>
  <si>
    <t>% enrld</t>
  </si>
  <si>
    <t>equiv prem</t>
  </si>
  <si>
    <t>Members</t>
  </si>
  <si>
    <t>Gold</t>
  </si>
  <si>
    <t>Silver</t>
  </si>
  <si>
    <t>Bronze</t>
  </si>
  <si>
    <t>YTD TOTAL</t>
  </si>
  <si>
    <t>Prepared by:</t>
  </si>
  <si>
    <t>Total Annual PCORI Expected</t>
  </si>
  <si>
    <t>Gold Employee Only</t>
  </si>
  <si>
    <t>Gold Employee + Spouse</t>
  </si>
  <si>
    <t>Gold Employee + Child(ren)</t>
  </si>
  <si>
    <t>Gold Employee + Family</t>
  </si>
  <si>
    <t>Silver Employee Only</t>
  </si>
  <si>
    <t>Silver Employee + Spouse</t>
  </si>
  <si>
    <t>Silver Employee + Child(ren)</t>
  </si>
  <si>
    <t>Silver Employee + Family</t>
  </si>
  <si>
    <t>Bronze Employee Only</t>
  </si>
  <si>
    <t>Bronze Employee + Spouse</t>
  </si>
  <si>
    <t>Bronze Employee + Family</t>
  </si>
  <si>
    <t>Bronze Employee + Child(ren)</t>
  </si>
  <si>
    <t>Medical Equivalent Premiums</t>
  </si>
  <si>
    <t>EE Only</t>
  </si>
  <si>
    <t>EE + Spouse</t>
  </si>
  <si>
    <t>EE + Child(ren)</t>
  </si>
  <si>
    <t>EE + Family</t>
  </si>
  <si>
    <t>Gold Copay</t>
  </si>
  <si>
    <t>Silver HSA</t>
  </si>
  <si>
    <t>Bronze Copay</t>
  </si>
  <si>
    <t>Rx</t>
  </si>
  <si>
    <t>Surcharge</t>
  </si>
  <si>
    <t>Total Claims Paid by Cigna</t>
  </si>
  <si>
    <t>Claims over $35K Pooling</t>
  </si>
  <si>
    <t>Medical Enrollment</t>
  </si>
  <si>
    <t>EE + Spouse (Subsidy)</t>
  </si>
  <si>
    <t>EE + Family Subsidy</t>
  </si>
  <si>
    <t>Claims Funding by Client</t>
  </si>
  <si>
    <t>Premiums/ Admin Funding by Client</t>
  </si>
  <si>
    <t>A.</t>
  </si>
  <si>
    <t>B.</t>
  </si>
  <si>
    <t>C.</t>
  </si>
  <si>
    <t>D.</t>
  </si>
  <si>
    <t>Average to be Due</t>
  </si>
  <si>
    <t>Total Paid by Client              (C+D)</t>
  </si>
  <si>
    <t>* At year-end Client receives 50% of Surplus.  If deficit, no additional monies are due and no deficit is carried forward.</t>
  </si>
  <si>
    <t>Life/AD&amp;D Premium</t>
  </si>
  <si>
    <t>LTD Premium</t>
  </si>
  <si>
    <t>STD Premium</t>
  </si>
  <si>
    <t>Exhibit 1: Medical and Rx Claims</t>
  </si>
  <si>
    <t>Exhibit 2: Level Funding Accounting</t>
  </si>
  <si>
    <t>Exhibit 4: Life, AD&amp;D, LTD and STD</t>
  </si>
  <si>
    <t>Surplus/Deficit (C-A-B)</t>
  </si>
  <si>
    <t>Exhibit 3: Healthcare Reform Fees</t>
  </si>
  <si>
    <t>2018 Financial Report Plan year January 1, 2018- December 31, 2018</t>
  </si>
  <si>
    <t>2018 PCORI $2.50 PMPY* Due July 2019</t>
  </si>
  <si>
    <t>Medical EE Rates 2018</t>
  </si>
  <si>
    <t>Medical VHC Rates 2018</t>
  </si>
  <si>
    <t>Vermont Cider Co.</t>
  </si>
  <si>
    <t>VCC gets 50% of this</t>
  </si>
  <si>
    <t>Subscribers</t>
  </si>
  <si>
    <t>2019 Financial Report Plan year January 1, 2019- December 31, 2019</t>
  </si>
  <si>
    <t>YTD Total</t>
  </si>
  <si>
    <t>Medical EE Rates 2019</t>
  </si>
  <si>
    <t>Medical VHC Rates 2019</t>
  </si>
  <si>
    <t>Exhibit 3: Dental</t>
  </si>
  <si>
    <t>Gross Monthly Premium</t>
  </si>
  <si>
    <t>Employee Contributions</t>
  </si>
  <si>
    <t>Net Monthly Premium</t>
  </si>
  <si>
    <t>Gross Paid by Client</t>
  </si>
  <si>
    <t>Net Paid by Client</t>
  </si>
  <si>
    <t>Total Premium</t>
  </si>
  <si>
    <t>Exhibit 5: Total VHC Cost</t>
  </si>
  <si>
    <t>Net per Month</t>
  </si>
  <si>
    <t>Employee Only</t>
  </si>
  <si>
    <t>Employee + Spouse</t>
  </si>
  <si>
    <t>Employee + Child</t>
  </si>
  <si>
    <t>Employee + Family</t>
  </si>
  <si>
    <t>Dental Equivalent Premium</t>
  </si>
  <si>
    <t>EE + Child</t>
  </si>
  <si>
    <t>EE Rates</t>
  </si>
  <si>
    <t>ER Rates</t>
  </si>
  <si>
    <t>Difference</t>
  </si>
  <si>
    <t>Cigna's #</t>
  </si>
  <si>
    <t>Loss Ratio</t>
  </si>
  <si>
    <t>PEPM</t>
  </si>
  <si>
    <t>PMPM</t>
  </si>
  <si>
    <t>Exhibit 4: Life, AD&amp;D and LTD</t>
  </si>
  <si>
    <t>Date</t>
  </si>
  <si>
    <t>EE + SP</t>
  </si>
  <si>
    <t>EE + CH</t>
  </si>
  <si>
    <t>EE + F</t>
  </si>
  <si>
    <t>MEDICAL</t>
  </si>
  <si>
    <t>Subscriber Enrollment</t>
  </si>
  <si>
    <t>Claims Over Spec</t>
  </si>
  <si>
    <t>EE + S</t>
  </si>
  <si>
    <t>Claim Funding Factors</t>
  </si>
  <si>
    <t>Admin Fee</t>
  </si>
  <si>
    <t>ISL Premium</t>
  </si>
  <si>
    <t>ASL Premium</t>
  </si>
  <si>
    <t>EE Contributions</t>
  </si>
  <si>
    <t>Claims Funding</t>
  </si>
  <si>
    <t>Cumulative Surplus</t>
  </si>
  <si>
    <t>DENTAL</t>
  </si>
  <si>
    <t>Enrollment</t>
  </si>
  <si>
    <t>EE+ CH</t>
  </si>
  <si>
    <t>Equivalent Premium</t>
  </si>
  <si>
    <t>VISION</t>
  </si>
  <si>
    <t>Surplus/Deficit</t>
  </si>
  <si>
    <t>Total</t>
  </si>
  <si>
    <t>Total Employees</t>
  </si>
  <si>
    <t>Admin Fees</t>
  </si>
  <si>
    <t>ISL Premiums</t>
  </si>
  <si>
    <t>ASL Premiums</t>
  </si>
  <si>
    <t>Average</t>
  </si>
  <si>
    <t>EXHIBIT 4: RENEWAL FACTORS</t>
  </si>
  <si>
    <t>Claims over $50K ISL</t>
  </si>
  <si>
    <t>Net Claims Paid by Cigna</t>
  </si>
  <si>
    <t>Claims Funding to Cigna</t>
  </si>
  <si>
    <t>Total Gross Claims</t>
  </si>
  <si>
    <t>EXHIBIT 1: HEALTH PLAN ENROLLMENT</t>
  </si>
  <si>
    <t>EXHIBIT 2: HEALTH PLAN FIXED COSTS</t>
  </si>
  <si>
    <t>EXHIBIT 3: HEALTH PLAN CLAIMS (Claims paid by Cigna based on date paid- not incurred)</t>
  </si>
  <si>
    <t># of Members</t>
  </si>
  <si>
    <t>All</t>
  </si>
  <si>
    <t>Medical &amp; Rx</t>
  </si>
  <si>
    <t>Claims, Service Charge &amp; Fee</t>
  </si>
  <si>
    <t># of Subscribers</t>
  </si>
  <si>
    <t>Plan 1</t>
  </si>
  <si>
    <t>Placeholder</t>
  </si>
  <si>
    <t>HRA</t>
  </si>
  <si>
    <t>Name</t>
  </si>
  <si>
    <t>Relationship</t>
  </si>
  <si>
    <t>Total Claims</t>
  </si>
  <si>
    <t>Claims over ISL</t>
  </si>
  <si>
    <t>Net Claims</t>
  </si>
  <si>
    <t>Cigna Level- Funded</t>
  </si>
  <si>
    <t>Pooling Point:</t>
  </si>
  <si>
    <t>Rathburn</t>
  </si>
  <si>
    <t>Current Year</t>
  </si>
  <si>
    <t>Run-Out</t>
  </si>
  <si>
    <t>Plan Information</t>
  </si>
  <si>
    <t>Vendor:</t>
  </si>
  <si>
    <t>BCBSVT</t>
  </si>
  <si>
    <t>Funding:</t>
  </si>
  <si>
    <t>FI w/ HRA</t>
  </si>
  <si>
    <t>HRA Funding</t>
  </si>
  <si>
    <t>Cigna</t>
  </si>
  <si>
    <t>Level Funded</t>
  </si>
  <si>
    <t>ISL</t>
  </si>
  <si>
    <t>Gross Paid by BELL</t>
  </si>
  <si>
    <t>Net paid by BELL</t>
  </si>
  <si>
    <t>EXHIBIT 5: HRA FUNDING</t>
  </si>
  <si>
    <t>HRA Liability- First Dollar</t>
  </si>
  <si>
    <t>HRA Claims Paid- First Dollar</t>
  </si>
  <si>
    <t>% Utilization- First Dollar</t>
  </si>
  <si>
    <t>HRA Liability- Catastrophic</t>
  </si>
  <si>
    <t>HRA Claims Paid- Catastrophic</t>
  </si>
  <si>
    <t>% Utilization- Catastrophic</t>
  </si>
  <si>
    <t>First Dollar Claims</t>
  </si>
  <si>
    <t>Catastrophic Claims</t>
  </si>
  <si>
    <t>EXHIBIT 6: HEALTH PLAN LOSS RATIO</t>
  </si>
  <si>
    <t>Premium Equivalent</t>
  </si>
  <si>
    <t>Total Cigna Cost + HRA</t>
  </si>
  <si>
    <t>In-House Dental Reimbursements</t>
  </si>
  <si>
    <t>Reimbursements</t>
  </si>
  <si>
    <t>EXHIBIT 8: VISION PLAN</t>
  </si>
  <si>
    <t>EXHIBIT 7: DENTAL PLAN</t>
  </si>
  <si>
    <t>Gross Vision Plan Cost to BELL</t>
  </si>
  <si>
    <t>From Cigna's Agg Report</t>
  </si>
  <si>
    <t>IBNR Reserve Nov</t>
  </si>
  <si>
    <t>IBNR Reserve Dec</t>
  </si>
  <si>
    <t>D. (B+C)</t>
  </si>
  <si>
    <t>Total IBNR Reserve</t>
  </si>
  <si>
    <t>E. (A-D)</t>
  </si>
  <si>
    <t>Balance Due</t>
  </si>
  <si>
    <t>F.</t>
  </si>
  <si>
    <t>Cigna Arrangement:</t>
  </si>
  <si>
    <t>G.</t>
  </si>
  <si>
    <t>Surplus Due:</t>
  </si>
  <si>
    <t>From Cigna</t>
  </si>
  <si>
    <t>Gross Claims Paid by Cigna</t>
  </si>
  <si>
    <t>* Surplus only paid out if renewing with Cigna for 2021 plan year</t>
  </si>
  <si>
    <t>* Surplus only paid out if renewing with Cigna for 2022 plan year</t>
  </si>
  <si>
    <t>Dominy</t>
  </si>
  <si>
    <t>Wheeler</t>
  </si>
  <si>
    <t>EXHIBIT 3: HEALTH PLAN CLAIMS</t>
  </si>
  <si>
    <t>As of</t>
  </si>
  <si>
    <t>Lafreniere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</si>
</sst>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[$-409]mmm\-yy;@"/>
    <numFmt numFmtId="167" formatCode="_(&quot;$&quot;* #,##0_);_(&quot;$&quot;* \(#,##0\);_(&quot;$&quot;* &quot;-&quot;??_);_(@_)"/>
  </numFmts>
  <fonts count="4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 Narrow"/>
      <family val="2"/>
    </font>
    <font>
      <b/>
      <i/>
      <sz val="16"/>
      <name val="Arial Narrow"/>
      <family val="2"/>
    </font>
    <font>
      <sz val="12"/>
      <name val="Arial Narrow"/>
      <family val="2"/>
    </font>
    <font>
      <b/>
      <u/>
      <sz val="11"/>
      <name val="Arial Narrow"/>
      <family val="2"/>
    </font>
    <font>
      <b/>
      <sz val="11"/>
      <name val="Arial Narrow"/>
      <family val="2"/>
    </font>
    <font>
      <b/>
      <sz val="16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1"/>
      <color rgb="FF0070C0"/>
      <name val="Arial Narrow"/>
      <family val="2"/>
    </font>
    <font>
      <sz val="11"/>
      <color theme="1"/>
      <name val="Arial Narrow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gray125">
        <bgColor theme="0"/>
      </patternFill>
    </fill>
    <fill>
      <patternFill patternType="lightDown"/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0" fillId="0" borderId="0"/>
    <xf numFmtId="0" fontId="1" fillId="23" borderId="7" applyNumberFormat="0" applyFont="0" applyAlignment="0" applyProtection="0"/>
    <xf numFmtId="0" fontId="2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439">
    <xf numFmtId="0" fontId="0" fillId="0" borderId="0" xfId="0"/>
    <xf numFmtId="0" fontId="20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20" fillId="0" borderId="0" xfId="38" applyFont="1"/>
    <xf numFmtId="44" fontId="0" fillId="0" borderId="0" xfId="38" applyFont="1"/>
    <xf numFmtId="44" fontId="19" fillId="0" borderId="0" xfId="38" applyFont="1"/>
    <xf numFmtId="0" fontId="23" fillId="24" borderId="0" xfId="0" applyFont="1" applyFill="1" applyAlignment="1">
      <alignment horizontal="center"/>
    </xf>
    <xf numFmtId="0" fontId="24" fillId="24" borderId="0" xfId="0" applyFont="1" applyFill="1"/>
    <xf numFmtId="0" fontId="24" fillId="24" borderId="0" xfId="0" applyFont="1" applyFill="1" applyAlignment="1">
      <alignment horizontal="center"/>
    </xf>
    <xf numFmtId="0" fontId="0" fillId="25" borderId="0" xfId="0" applyFill="1"/>
    <xf numFmtId="44" fontId="0" fillId="25" borderId="0" xfId="0" applyNumberFormat="1" applyFill="1"/>
    <xf numFmtId="0" fontId="22" fillId="26" borderId="0" xfId="0" applyFont="1" applyFill="1" applyAlignment="1">
      <alignment horizontal="center"/>
    </xf>
    <xf numFmtId="0" fontId="0" fillId="26" borderId="0" xfId="0" applyFill="1"/>
    <xf numFmtId="164" fontId="19" fillId="0" borderId="0" xfId="0" applyNumberFormat="1" applyFont="1" applyAlignment="1">
      <alignment horizontal="center"/>
    </xf>
    <xf numFmtId="9" fontId="0" fillId="0" borderId="0" xfId="63" applyFont="1"/>
    <xf numFmtId="9" fontId="19" fillId="0" borderId="0" xfId="63" applyFont="1"/>
    <xf numFmtId="0" fontId="20" fillId="27" borderId="0" xfId="0" applyFont="1" applyFill="1"/>
    <xf numFmtId="0" fontId="0" fillId="27" borderId="0" xfId="0" applyFill="1"/>
    <xf numFmtId="44" fontId="25" fillId="27" borderId="0" xfId="38" applyFont="1" applyFill="1"/>
    <xf numFmtId="0" fontId="20" fillId="28" borderId="0" xfId="0" applyFont="1" applyFill="1"/>
    <xf numFmtId="0" fontId="0" fillId="28" borderId="0" xfId="0" applyFill="1"/>
    <xf numFmtId="44" fontId="25" fillId="28" borderId="0" xfId="38" applyFont="1" applyFill="1"/>
    <xf numFmtId="9" fontId="24" fillId="24" borderId="0" xfId="63" applyFont="1" applyFill="1" applyAlignment="1">
      <alignment horizontal="center"/>
    </xf>
    <xf numFmtId="9" fontId="19" fillId="0" borderId="0" xfId="63" applyFont="1" applyAlignment="1">
      <alignment horizontal="center"/>
    </xf>
    <xf numFmtId="9" fontId="0" fillId="0" borderId="0" xfId="63" applyFont="1" applyAlignment="1">
      <alignment horizontal="center"/>
    </xf>
    <xf numFmtId="9" fontId="20" fillId="0" borderId="0" xfId="63" applyFont="1" applyAlignment="1">
      <alignment horizontal="center"/>
    </xf>
    <xf numFmtId="0" fontId="37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29" borderId="0" xfId="0" applyFont="1" applyFill="1"/>
    <xf numFmtId="0" fontId="0" fillId="29" borderId="0" xfId="0" applyFill="1"/>
    <xf numFmtId="44" fontId="0" fillId="29" borderId="0" xfId="0" applyNumberFormat="1" applyFill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20" fillId="0" borderId="12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0" fillId="0" borderId="0" xfId="0" applyBorder="1"/>
    <xf numFmtId="0" fontId="0" fillId="0" borderId="13" xfId="0" applyBorder="1"/>
    <xf numFmtId="0" fontId="0" fillId="0" borderId="12" xfId="0" applyBorder="1"/>
    <xf numFmtId="0" fontId="2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7" fillId="0" borderId="0" xfId="0" applyFont="1" applyBorder="1"/>
    <xf numFmtId="0" fontId="19" fillId="0" borderId="12" xfId="0" applyFont="1" applyBorder="1"/>
    <xf numFmtId="0" fontId="24" fillId="24" borderId="0" xfId="0" applyFont="1" applyFill="1" applyBorder="1"/>
    <xf numFmtId="0" fontId="19" fillId="0" borderId="0" xfId="0" applyFont="1" applyBorder="1"/>
    <xf numFmtId="0" fontId="22" fillId="26" borderId="0" xfId="0" applyFont="1" applyFill="1" applyBorder="1" applyAlignment="1">
      <alignment horizontal="center"/>
    </xf>
    <xf numFmtId="0" fontId="0" fillId="25" borderId="0" xfId="0" applyFill="1" applyBorder="1"/>
    <xf numFmtId="44" fontId="26" fillId="26" borderId="0" xfId="38" applyFont="1" applyFill="1" applyBorder="1"/>
    <xf numFmtId="44" fontId="26" fillId="25" borderId="0" xfId="38" applyFont="1" applyFill="1" applyBorder="1"/>
    <xf numFmtId="9" fontId="0" fillId="0" borderId="0" xfId="63" applyFont="1" applyBorder="1"/>
    <xf numFmtId="0" fontId="24" fillId="24" borderId="0" xfId="0" applyFont="1" applyFill="1" applyBorder="1" applyAlignment="1">
      <alignment horizontal="center"/>
    </xf>
    <xf numFmtId="9" fontId="19" fillId="0" borderId="0" xfId="63" applyFont="1" applyBorder="1"/>
    <xf numFmtId="44" fontId="20" fillId="0" borderId="0" xfId="38" applyFont="1" applyBorder="1"/>
    <xf numFmtId="44" fontId="0" fillId="0" borderId="0" xfId="38" applyFont="1" applyBorder="1"/>
    <xf numFmtId="44" fontId="19" fillId="0" borderId="0" xfId="38" applyFont="1" applyBorder="1"/>
    <xf numFmtId="164" fontId="19" fillId="0" borderId="0" xfId="0" applyNumberFormat="1" applyFont="1" applyBorder="1" applyAlignment="1">
      <alignment horizontal="center"/>
    </xf>
    <xf numFmtId="0" fontId="20" fillId="0" borderId="14" xfId="0" applyFont="1" applyBorder="1"/>
    <xf numFmtId="0" fontId="20" fillId="0" borderId="15" xfId="0" applyFont="1" applyBorder="1"/>
    <xf numFmtId="0" fontId="20" fillId="0" borderId="15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37" fillId="0" borderId="13" xfId="0" applyFont="1" applyBorder="1"/>
    <xf numFmtId="9" fontId="0" fillId="0" borderId="13" xfId="63" applyFont="1" applyBorder="1"/>
    <xf numFmtId="9" fontId="19" fillId="0" borderId="13" xfId="63" applyFont="1" applyBorder="1"/>
    <xf numFmtId="0" fontId="0" fillId="0" borderId="14" xfId="0" applyBorder="1"/>
    <xf numFmtId="0" fontId="0" fillId="0" borderId="17" xfId="0" applyBorder="1" applyAlignment="1">
      <alignment horizontal="left"/>
    </xf>
    <xf numFmtId="0" fontId="22" fillId="0" borderId="0" xfId="0" applyFont="1" applyBorder="1" applyAlignment="1">
      <alignment horizontal="center"/>
    </xf>
    <xf numFmtId="44" fontId="0" fillId="0" borderId="0" xfId="0" applyNumberFormat="1" applyBorder="1"/>
    <xf numFmtId="44" fontId="19" fillId="0" borderId="0" xfId="0" applyNumberFormat="1" applyFont="1" applyBorder="1"/>
    <xf numFmtId="167" fontId="19" fillId="0" borderId="0" xfId="0" applyNumberFormat="1" applyFont="1" applyBorder="1"/>
    <xf numFmtId="0" fontId="33" fillId="30" borderId="18" xfId="0" applyFont="1" applyFill="1" applyBorder="1" applyAlignment="1">
      <alignment horizontal="center" vertical="center" wrapText="1"/>
    </xf>
    <xf numFmtId="0" fontId="33" fillId="30" borderId="19" xfId="0" applyFont="1" applyFill="1" applyBorder="1" applyAlignment="1">
      <alignment horizontal="center" vertical="center" wrapText="1"/>
    </xf>
    <xf numFmtId="0" fontId="33" fillId="30" borderId="20" xfId="0" applyFont="1" applyFill="1" applyBorder="1" applyAlignment="1">
      <alignment horizontal="center" vertical="center" wrapText="1"/>
    </xf>
    <xf numFmtId="0" fontId="29" fillId="30" borderId="21" xfId="0" applyFont="1" applyFill="1" applyBorder="1" applyAlignment="1">
      <alignment horizontal="center" wrapText="1"/>
    </xf>
    <xf numFmtId="0" fontId="29" fillId="0" borderId="0" xfId="0" applyFont="1" applyBorder="1"/>
    <xf numFmtId="166" fontId="29" fillId="0" borderId="0" xfId="0" applyNumberFormat="1" applyFont="1" applyBorder="1"/>
    <xf numFmtId="0" fontId="29" fillId="30" borderId="13" xfId="0" applyFont="1" applyFill="1" applyBorder="1" applyAlignment="1">
      <alignment horizontal="center" wrapText="1"/>
    </xf>
    <xf numFmtId="166" fontId="29" fillId="30" borderId="0" xfId="0" applyNumberFormat="1" applyFont="1" applyFill="1"/>
    <xf numFmtId="49" fontId="30" fillId="30" borderId="0" xfId="0" applyNumberFormat="1" applyFont="1" applyFill="1"/>
    <xf numFmtId="0" fontId="29" fillId="30" borderId="0" xfId="0" applyFont="1" applyFill="1" applyAlignment="1">
      <alignment horizontal="center" wrapText="1"/>
    </xf>
    <xf numFmtId="0" fontId="29" fillId="30" borderId="0" xfId="0" applyFont="1" applyFill="1"/>
    <xf numFmtId="49" fontId="31" fillId="30" borderId="0" xfId="0" applyNumberFormat="1" applyFont="1" applyFill="1"/>
    <xf numFmtId="0" fontId="32" fillId="30" borderId="0" xfId="0" applyFont="1" applyFill="1" applyAlignment="1">
      <alignment horizontal="left" wrapText="1"/>
    </xf>
    <xf numFmtId="0" fontId="32" fillId="30" borderId="0" xfId="0" applyFont="1" applyFill="1" applyAlignment="1">
      <alignment horizontal="center" wrapText="1"/>
    </xf>
    <xf numFmtId="0" fontId="33" fillId="30" borderId="10" xfId="0" applyFont="1" applyFill="1" applyBorder="1" applyAlignment="1">
      <alignment horizontal="center" vertical="center" wrapText="1"/>
    </xf>
    <xf numFmtId="0" fontId="33" fillId="30" borderId="22" xfId="0" applyFont="1" applyFill="1" applyBorder="1" applyAlignment="1">
      <alignment horizontal="center" vertical="center" wrapText="1"/>
    </xf>
    <xf numFmtId="166" fontId="33" fillId="30" borderId="0" xfId="0" applyNumberFormat="1" applyFont="1" applyFill="1" applyAlignment="1">
      <alignment horizontal="left"/>
    </xf>
    <xf numFmtId="6" fontId="29" fillId="30" borderId="21" xfId="0" applyNumberFormat="1" applyFont="1" applyFill="1" applyBorder="1" applyAlignment="1">
      <alignment horizontal="center" wrapText="1"/>
    </xf>
    <xf numFmtId="6" fontId="29" fillId="30" borderId="0" xfId="0" applyNumberFormat="1" applyFont="1" applyFill="1" applyBorder="1" applyAlignment="1">
      <alignment horizontal="center" wrapText="1"/>
    </xf>
    <xf numFmtId="6" fontId="29" fillId="30" borderId="10" xfId="0" applyNumberFormat="1" applyFont="1" applyFill="1" applyBorder="1" applyAlignment="1">
      <alignment horizontal="center" wrapText="1"/>
    </xf>
    <xf numFmtId="6" fontId="29" fillId="30" borderId="23" xfId="0" applyNumberFormat="1" applyFont="1" applyFill="1" applyBorder="1" applyAlignment="1">
      <alignment horizontal="center" wrapText="1"/>
    </xf>
    <xf numFmtId="6" fontId="29" fillId="30" borderId="17" xfId="0" applyNumberFormat="1" applyFont="1" applyFill="1" applyBorder="1" applyAlignment="1">
      <alignment horizontal="center" wrapText="1"/>
    </xf>
    <xf numFmtId="165" fontId="29" fillId="30" borderId="0" xfId="0" applyNumberFormat="1" applyFont="1" applyFill="1"/>
    <xf numFmtId="6" fontId="29" fillId="30" borderId="12" xfId="0" applyNumberFormat="1" applyFont="1" applyFill="1" applyBorder="1" applyAlignment="1">
      <alignment horizontal="center" wrapText="1"/>
    </xf>
    <xf numFmtId="6" fontId="29" fillId="30" borderId="0" xfId="0" applyNumberFormat="1" applyFont="1" applyFill="1" applyAlignment="1">
      <alignment horizontal="center" wrapText="1"/>
    </xf>
    <xf numFmtId="166" fontId="33" fillId="30" borderId="0" xfId="0" applyNumberFormat="1" applyFont="1" applyFill="1"/>
    <xf numFmtId="6" fontId="33" fillId="30" borderId="18" xfId="0" applyNumberFormat="1" applyFont="1" applyFill="1" applyBorder="1" applyAlignment="1">
      <alignment horizontal="center" wrapText="1"/>
    </xf>
    <xf numFmtId="6" fontId="33" fillId="30" borderId="19" xfId="0" applyNumberFormat="1" applyFont="1" applyFill="1" applyBorder="1" applyAlignment="1">
      <alignment horizontal="center" wrapText="1"/>
    </xf>
    <xf numFmtId="6" fontId="33" fillId="30" borderId="20" xfId="0" applyNumberFormat="1" applyFont="1" applyFill="1" applyBorder="1" applyAlignment="1">
      <alignment horizontal="center" wrapText="1"/>
    </xf>
    <xf numFmtId="6" fontId="33" fillId="30" borderId="22" xfId="0" applyNumberFormat="1" applyFont="1" applyFill="1" applyBorder="1" applyAlignment="1">
      <alignment horizontal="center" wrapText="1"/>
    </xf>
    <xf numFmtId="166" fontId="29" fillId="30" borderId="0" xfId="0" quotePrefix="1" applyNumberFormat="1" applyFont="1" applyFill="1"/>
    <xf numFmtId="0" fontId="32" fillId="30" borderId="0" xfId="0" applyFont="1" applyFill="1" applyBorder="1" applyAlignment="1">
      <alignment horizontal="left"/>
    </xf>
    <xf numFmtId="0" fontId="32" fillId="30" borderId="0" xfId="0" applyFont="1" applyFill="1" applyBorder="1" applyAlignment="1">
      <alignment horizontal="left" wrapText="1"/>
    </xf>
    <xf numFmtId="6" fontId="32" fillId="30" borderId="0" xfId="0" applyNumberFormat="1" applyFont="1" applyFill="1" applyBorder="1" applyAlignment="1">
      <alignment horizontal="left" wrapText="1"/>
    </xf>
    <xf numFmtId="8" fontId="32" fillId="30" borderId="0" xfId="0" applyNumberFormat="1" applyFont="1" applyFill="1" applyBorder="1" applyAlignment="1">
      <alignment horizontal="left" wrapText="1"/>
    </xf>
    <xf numFmtId="0" fontId="33" fillId="30" borderId="0" xfId="0" applyFont="1" applyFill="1" applyBorder="1" applyAlignment="1">
      <alignment horizontal="center" vertical="center" wrapText="1"/>
    </xf>
    <xf numFmtId="164" fontId="29" fillId="30" borderId="21" xfId="0" applyNumberFormat="1" applyFont="1" applyFill="1" applyBorder="1" applyAlignment="1">
      <alignment horizontal="center" wrapText="1"/>
    </xf>
    <xf numFmtId="164" fontId="29" fillId="30" borderId="13" xfId="0" applyNumberFormat="1" applyFont="1" applyFill="1" applyBorder="1" applyAlignment="1">
      <alignment horizontal="center" wrapText="1"/>
    </xf>
    <xf numFmtId="164" fontId="29" fillId="30" borderId="0" xfId="0" applyNumberFormat="1" applyFont="1" applyFill="1" applyAlignment="1">
      <alignment horizontal="center" wrapText="1"/>
    </xf>
    <xf numFmtId="164" fontId="29" fillId="30" borderId="0" xfId="0" applyNumberFormat="1" applyFont="1" applyFill="1" applyBorder="1" applyAlignment="1">
      <alignment horizontal="center" wrapText="1"/>
    </xf>
    <xf numFmtId="9" fontId="29" fillId="30" borderId="0" xfId="63" applyFont="1" applyFill="1" applyBorder="1" applyAlignment="1">
      <alignment horizontal="center" wrapText="1"/>
    </xf>
    <xf numFmtId="8" fontId="29" fillId="30" borderId="21" xfId="0" applyNumberFormat="1" applyFont="1" applyFill="1" applyBorder="1" applyAlignment="1">
      <alignment horizontal="center" wrapText="1"/>
    </xf>
    <xf numFmtId="164" fontId="29" fillId="30" borderId="0" xfId="0" applyNumberFormat="1" applyFont="1" applyFill="1" applyBorder="1" applyAlignment="1">
      <alignment vertical="center" wrapText="1"/>
    </xf>
    <xf numFmtId="0" fontId="29" fillId="30" borderId="19" xfId="0" applyFont="1" applyFill="1" applyBorder="1" applyAlignment="1">
      <alignment horizontal="center" wrapText="1"/>
    </xf>
    <xf numFmtId="164" fontId="29" fillId="30" borderId="19" xfId="0" applyNumberFormat="1" applyFont="1" applyFill="1" applyBorder="1" applyAlignment="1">
      <alignment horizontal="center" wrapText="1"/>
    </xf>
    <xf numFmtId="166" fontId="34" fillId="30" borderId="0" xfId="0" applyNumberFormat="1" applyFont="1" applyFill="1" applyAlignment="1">
      <alignment horizontal="center" vertical="center"/>
    </xf>
    <xf numFmtId="0" fontId="29" fillId="30" borderId="12" xfId="0" applyFont="1" applyFill="1" applyBorder="1" applyAlignment="1">
      <alignment horizontal="center" wrapText="1"/>
    </xf>
    <xf numFmtId="0" fontId="29" fillId="30" borderId="0" xfId="0" applyFont="1" applyFill="1" applyBorder="1" applyAlignment="1">
      <alignment horizontal="center" wrapText="1"/>
    </xf>
    <xf numFmtId="0" fontId="29" fillId="30" borderId="14" xfId="0" applyFont="1" applyFill="1" applyBorder="1" applyAlignment="1">
      <alignment horizontal="center" wrapText="1"/>
    </xf>
    <xf numFmtId="0" fontId="29" fillId="30" borderId="24" xfId="0" applyFont="1" applyFill="1" applyBorder="1" applyAlignment="1">
      <alignment horizontal="center" wrapText="1"/>
    </xf>
    <xf numFmtId="0" fontId="29" fillId="30" borderId="15" xfId="0" applyFont="1" applyFill="1" applyBorder="1" applyAlignment="1">
      <alignment horizontal="center" wrapText="1"/>
    </xf>
    <xf numFmtId="0" fontId="32" fillId="30" borderId="0" xfId="0" applyFont="1" applyFill="1" applyAlignment="1">
      <alignment wrapText="1"/>
    </xf>
    <xf numFmtId="0" fontId="33" fillId="30" borderId="19" xfId="0" applyFont="1" applyFill="1" applyBorder="1" applyAlignment="1">
      <alignment horizontal="center" vertical="center"/>
    </xf>
    <xf numFmtId="0" fontId="29" fillId="30" borderId="23" xfId="0" applyFont="1" applyFill="1" applyBorder="1" applyAlignment="1">
      <alignment horizontal="center"/>
    </xf>
    <xf numFmtId="0" fontId="29" fillId="30" borderId="21" xfId="0" applyFont="1" applyFill="1" applyBorder="1" applyAlignment="1">
      <alignment horizontal="center"/>
    </xf>
    <xf numFmtId="0" fontId="29" fillId="30" borderId="24" xfId="0" applyFont="1" applyFill="1" applyBorder="1" applyAlignment="1">
      <alignment horizontal="center"/>
    </xf>
    <xf numFmtId="164" fontId="32" fillId="30" borderId="17" xfId="0" applyNumberFormat="1" applyFont="1" applyFill="1" applyBorder="1" applyAlignment="1">
      <alignment horizontal="left"/>
    </xf>
    <xf numFmtId="164" fontId="32" fillId="30" borderId="10" xfId="0" applyNumberFormat="1" applyFont="1" applyFill="1" applyBorder="1" applyAlignment="1">
      <alignment horizontal="center" wrapText="1"/>
    </xf>
    <xf numFmtId="164" fontId="29" fillId="30" borderId="10" xfId="0" applyNumberFormat="1" applyFont="1" applyFill="1" applyBorder="1" applyAlignment="1">
      <alignment horizontal="center" wrapText="1"/>
    </xf>
    <xf numFmtId="164" fontId="29" fillId="30" borderId="11" xfId="0" applyNumberFormat="1" applyFont="1" applyFill="1" applyBorder="1" applyAlignment="1">
      <alignment horizontal="center" wrapText="1"/>
    </xf>
    <xf numFmtId="0" fontId="32" fillId="30" borderId="12" xfId="0" applyNumberFormat="1" applyFont="1" applyFill="1" applyBorder="1" applyAlignment="1">
      <alignment horizontal="left"/>
    </xf>
    <xf numFmtId="164" fontId="32" fillId="30" borderId="0" xfId="0" applyNumberFormat="1" applyFont="1" applyFill="1" applyBorder="1" applyAlignment="1">
      <alignment horizontal="center" wrapText="1"/>
    </xf>
    <xf numFmtId="164" fontId="32" fillId="30" borderId="13" xfId="0" applyNumberFormat="1" applyFont="1" applyFill="1" applyBorder="1" applyAlignment="1">
      <alignment horizontal="center" wrapText="1"/>
    </xf>
    <xf numFmtId="0" fontId="29" fillId="30" borderId="0" xfId="0" applyFont="1" applyFill="1" applyBorder="1"/>
    <xf numFmtId="0" fontId="29" fillId="30" borderId="12" xfId="0" applyNumberFormat="1" applyFont="1" applyFill="1" applyBorder="1" applyAlignment="1">
      <alignment horizontal="left"/>
    </xf>
    <xf numFmtId="164" fontId="29" fillId="30" borderId="0" xfId="0" applyNumberFormat="1" applyFont="1" applyFill="1" applyBorder="1" applyAlignment="1">
      <alignment horizontal="center"/>
    </xf>
    <xf numFmtId="164" fontId="29" fillId="30" borderId="13" xfId="0" applyNumberFormat="1" applyFont="1" applyFill="1" applyBorder="1" applyAlignment="1">
      <alignment horizontal="center"/>
    </xf>
    <xf numFmtId="0" fontId="29" fillId="30" borderId="0" xfId="0" applyFont="1" applyFill="1" applyBorder="1" applyAlignment="1">
      <alignment wrapText="1"/>
    </xf>
    <xf numFmtId="0" fontId="29" fillId="30" borderId="0" xfId="0" applyFont="1" applyFill="1" applyAlignment="1">
      <alignment wrapText="1"/>
    </xf>
    <xf numFmtId="0" fontId="32" fillId="30" borderId="0" xfId="0" applyFont="1" applyFill="1" applyBorder="1"/>
    <xf numFmtId="0" fontId="29" fillId="30" borderId="0" xfId="0" applyFont="1" applyFill="1" applyBorder="1" applyAlignment="1">
      <alignment horizontal="left"/>
    </xf>
    <xf numFmtId="0" fontId="29" fillId="30" borderId="0" xfId="0" applyFont="1" applyFill="1" applyBorder="1" applyAlignment="1">
      <alignment horizontal="left" wrapText="1"/>
    </xf>
    <xf numFmtId="0" fontId="29" fillId="30" borderId="14" xfId="0" applyNumberFormat="1" applyFont="1" applyFill="1" applyBorder="1" applyAlignment="1">
      <alignment horizontal="left"/>
    </xf>
    <xf numFmtId="164" fontId="29" fillId="30" borderId="15" xfId="0" applyNumberFormat="1" applyFont="1" applyFill="1" applyBorder="1" applyAlignment="1">
      <alignment horizontal="center" wrapText="1"/>
    </xf>
    <xf numFmtId="164" fontId="29" fillId="30" borderId="16" xfId="0" applyNumberFormat="1" applyFont="1" applyFill="1" applyBorder="1" applyAlignment="1">
      <alignment horizontal="center" wrapText="1"/>
    </xf>
    <xf numFmtId="166" fontId="32" fillId="30" borderId="0" xfId="0" applyNumberFormat="1" applyFont="1" applyFill="1" applyBorder="1" applyAlignment="1"/>
    <xf numFmtId="0" fontId="32" fillId="30" borderId="0" xfId="0" applyNumberFormat="1" applyFont="1" applyFill="1" applyBorder="1" applyAlignment="1">
      <alignment horizontal="left"/>
    </xf>
    <xf numFmtId="166" fontId="29" fillId="30" borderId="0" xfId="0" applyNumberFormat="1" applyFont="1" applyFill="1" applyBorder="1"/>
    <xf numFmtId="166" fontId="32" fillId="30" borderId="0" xfId="0" applyNumberFormat="1" applyFont="1" applyFill="1" applyBorder="1" applyAlignment="1">
      <alignment vertical="center"/>
    </xf>
    <xf numFmtId="0" fontId="32" fillId="30" borderId="0" xfId="0" applyFont="1" applyFill="1" applyBorder="1" applyAlignment="1"/>
    <xf numFmtId="49" fontId="29" fillId="30" borderId="0" xfId="0" applyNumberFormat="1" applyFont="1" applyFill="1" applyBorder="1" applyAlignment="1">
      <alignment horizontal="center" wrapText="1"/>
    </xf>
    <xf numFmtId="166" fontId="32" fillId="30" borderId="0" xfId="0" applyNumberFormat="1" applyFont="1" applyFill="1" applyBorder="1" applyAlignment="1">
      <alignment wrapText="1"/>
    </xf>
    <xf numFmtId="0" fontId="32" fillId="30" borderId="0" xfId="0" applyFont="1" applyFill="1" applyBorder="1" applyAlignment="1">
      <alignment horizontal="center" wrapText="1"/>
    </xf>
    <xf numFmtId="166" fontId="33" fillId="30" borderId="0" xfId="0" applyNumberFormat="1" applyFont="1" applyFill="1" applyBorder="1" applyAlignment="1">
      <alignment horizontal="left"/>
    </xf>
    <xf numFmtId="0" fontId="29" fillId="30" borderId="0" xfId="0" applyFont="1" applyFill="1" applyAlignment="1">
      <alignment horizontal="left" wrapText="1"/>
    </xf>
    <xf numFmtId="164" fontId="29" fillId="30" borderId="0" xfId="38" applyNumberFormat="1" applyFont="1" applyFill="1" applyBorder="1" applyAlignment="1">
      <alignment horizontal="center"/>
    </xf>
    <xf numFmtId="0" fontId="33" fillId="30" borderId="0" xfId="0" applyFont="1" applyFill="1" applyBorder="1" applyAlignment="1">
      <alignment horizontal="center" wrapText="1"/>
    </xf>
    <xf numFmtId="0" fontId="32" fillId="30" borderId="0" xfId="0" applyFont="1" applyFill="1" applyBorder="1" applyAlignment="1">
      <alignment horizontal="center"/>
    </xf>
    <xf numFmtId="0" fontId="29" fillId="30" borderId="0" xfId="0" applyNumberFormat="1" applyFont="1" applyFill="1" applyBorder="1" applyAlignment="1">
      <alignment horizontal="center" wrapText="1"/>
    </xf>
    <xf numFmtId="0" fontId="29" fillId="30" borderId="0" xfId="63" applyNumberFormat="1" applyFont="1" applyFill="1" applyBorder="1" applyAlignment="1">
      <alignment horizontal="center" wrapText="1"/>
    </xf>
    <xf numFmtId="9" fontId="29" fillId="30" borderId="0" xfId="63" applyFont="1" applyFill="1" applyAlignment="1">
      <alignment horizontal="center" wrapText="1"/>
    </xf>
    <xf numFmtId="49" fontId="34" fillId="30" borderId="0" xfId="0" applyNumberFormat="1" applyFont="1" applyFill="1"/>
    <xf numFmtId="166" fontId="32" fillId="30" borderId="14" xfId="0" applyNumberFormat="1" applyFont="1" applyFill="1" applyBorder="1" applyAlignment="1"/>
    <xf numFmtId="0" fontId="29" fillId="30" borderId="16" xfId="0" applyFont="1" applyFill="1" applyBorder="1" applyAlignment="1">
      <alignment horizontal="center" wrapText="1"/>
    </xf>
    <xf numFmtId="166" fontId="32" fillId="30" borderId="0" xfId="0" applyNumberFormat="1" applyFont="1" applyFill="1"/>
    <xf numFmtId="166" fontId="33" fillId="30" borderId="18" xfId="0" applyNumberFormat="1" applyFont="1" applyFill="1" applyBorder="1" applyAlignment="1">
      <alignment horizontal="center" wrapText="1"/>
    </xf>
    <xf numFmtId="166" fontId="33" fillId="30" borderId="19" xfId="0" applyNumberFormat="1" applyFont="1" applyFill="1" applyBorder="1" applyAlignment="1">
      <alignment horizontal="center" wrapText="1"/>
    </xf>
    <xf numFmtId="166" fontId="33" fillId="30" borderId="22" xfId="0" applyNumberFormat="1" applyFont="1" applyFill="1" applyBorder="1" applyAlignment="1">
      <alignment horizontal="center" wrapText="1"/>
    </xf>
    <xf numFmtId="0" fontId="33" fillId="30" borderId="0" xfId="0" applyFont="1" applyFill="1"/>
    <xf numFmtId="0" fontId="33" fillId="30" borderId="0" xfId="0" applyFont="1" applyFill="1" applyAlignment="1">
      <alignment horizontal="center" wrapText="1"/>
    </xf>
    <xf numFmtId="0" fontId="33" fillId="30" borderId="18" xfId="0" applyFont="1" applyFill="1" applyBorder="1" applyAlignment="1">
      <alignment horizontal="center" wrapText="1"/>
    </xf>
    <xf numFmtId="0" fontId="33" fillId="30" borderId="19" xfId="0" applyFont="1" applyFill="1" applyBorder="1" applyAlignment="1">
      <alignment horizontal="center" wrapText="1"/>
    </xf>
    <xf numFmtId="166" fontId="29" fillId="30" borderId="0" xfId="0" applyNumberFormat="1" applyFont="1" applyFill="1" applyAlignment="1">
      <alignment vertical="center"/>
    </xf>
    <xf numFmtId="0" fontId="29" fillId="30" borderId="0" xfId="0" applyFont="1" applyFill="1" applyAlignment="1">
      <alignment vertical="center"/>
    </xf>
    <xf numFmtId="166" fontId="33" fillId="30" borderId="0" xfId="0" applyNumberFormat="1" applyFont="1" applyFill="1" applyAlignment="1">
      <alignment horizontal="left" vertical="center"/>
    </xf>
    <xf numFmtId="6" fontId="29" fillId="30" borderId="21" xfId="0" applyNumberFormat="1" applyFont="1" applyFill="1" applyBorder="1" applyAlignment="1">
      <alignment horizontal="center" vertical="center" wrapText="1"/>
    </xf>
    <xf numFmtId="6" fontId="29" fillId="30" borderId="0" xfId="0" applyNumberFormat="1" applyFont="1" applyFill="1" applyBorder="1" applyAlignment="1">
      <alignment horizontal="center" vertical="center" wrapText="1"/>
    </xf>
    <xf numFmtId="6" fontId="29" fillId="30" borderId="10" xfId="0" applyNumberFormat="1" applyFont="1" applyFill="1" applyBorder="1" applyAlignment="1">
      <alignment horizontal="center" vertical="center" wrapText="1"/>
    </xf>
    <xf numFmtId="6" fontId="29" fillId="30" borderId="23" xfId="0" applyNumberFormat="1" applyFont="1" applyFill="1" applyBorder="1" applyAlignment="1">
      <alignment horizontal="center" vertical="center" wrapText="1"/>
    </xf>
    <xf numFmtId="6" fontId="29" fillId="30" borderId="17" xfId="0" applyNumberFormat="1" applyFont="1" applyFill="1" applyBorder="1" applyAlignment="1">
      <alignment horizontal="center" vertical="center" wrapText="1"/>
    </xf>
    <xf numFmtId="6" fontId="29" fillId="30" borderId="12" xfId="0" applyNumberFormat="1" applyFont="1" applyFill="1" applyBorder="1" applyAlignment="1">
      <alignment horizontal="center" vertical="center" wrapText="1"/>
    </xf>
    <xf numFmtId="166" fontId="33" fillId="30" borderId="0" xfId="0" applyNumberFormat="1" applyFont="1" applyFill="1" applyAlignment="1">
      <alignment vertical="center"/>
    </xf>
    <xf numFmtId="6" fontId="33" fillId="30" borderId="18" xfId="0" applyNumberFormat="1" applyFont="1" applyFill="1" applyBorder="1" applyAlignment="1">
      <alignment horizontal="center" vertical="center" wrapText="1"/>
    </xf>
    <xf numFmtId="6" fontId="33" fillId="30" borderId="19" xfId="0" applyNumberFormat="1" applyFont="1" applyFill="1" applyBorder="1" applyAlignment="1">
      <alignment horizontal="center" vertical="center" wrapText="1"/>
    </xf>
    <xf numFmtId="6" fontId="33" fillId="30" borderId="20" xfId="0" applyNumberFormat="1" applyFont="1" applyFill="1" applyBorder="1" applyAlignment="1">
      <alignment horizontal="center" vertical="center" wrapText="1"/>
    </xf>
    <xf numFmtId="6" fontId="33" fillId="30" borderId="22" xfId="0" applyNumberFormat="1" applyFont="1" applyFill="1" applyBorder="1" applyAlignment="1">
      <alignment horizontal="center" vertical="center" wrapText="1"/>
    </xf>
    <xf numFmtId="9" fontId="33" fillId="30" borderId="0" xfId="63" applyFont="1" applyFill="1" applyBorder="1" applyAlignment="1">
      <alignment horizontal="center" wrapText="1"/>
    </xf>
    <xf numFmtId="0" fontId="32" fillId="30" borderId="0" xfId="0" applyFont="1" applyFill="1"/>
    <xf numFmtId="0" fontId="33" fillId="30" borderId="20" xfId="0" applyFont="1" applyFill="1" applyBorder="1" applyAlignment="1">
      <alignment horizontal="center" wrapText="1"/>
    </xf>
    <xf numFmtId="0" fontId="29" fillId="30" borderId="12" xfId="0" applyFont="1" applyFill="1" applyBorder="1"/>
    <xf numFmtId="166" fontId="32" fillId="30" borderId="17" xfId="0" applyNumberFormat="1" applyFont="1" applyFill="1" applyBorder="1"/>
    <xf numFmtId="0" fontId="29" fillId="30" borderId="10" xfId="0" applyFont="1" applyFill="1" applyBorder="1" applyAlignment="1">
      <alignment horizontal="center" wrapText="1"/>
    </xf>
    <xf numFmtId="0" fontId="29" fillId="30" borderId="11" xfId="0" applyFont="1" applyFill="1" applyBorder="1" applyAlignment="1">
      <alignment horizontal="center" wrapText="1"/>
    </xf>
    <xf numFmtId="166" fontId="32" fillId="30" borderId="12" xfId="0" applyNumberFormat="1" applyFont="1" applyFill="1" applyBorder="1" applyAlignment="1">
      <alignment vertical="center"/>
    </xf>
    <xf numFmtId="166" fontId="29" fillId="30" borderId="12" xfId="0" applyNumberFormat="1" applyFont="1" applyFill="1" applyBorder="1" applyAlignment="1"/>
    <xf numFmtId="166" fontId="29" fillId="30" borderId="12" xfId="0" applyNumberFormat="1" applyFont="1" applyFill="1" applyBorder="1"/>
    <xf numFmtId="166" fontId="32" fillId="30" borderId="14" xfId="0" applyNumberFormat="1" applyFont="1" applyFill="1" applyBorder="1" applyAlignment="1">
      <alignment wrapText="1"/>
    </xf>
    <xf numFmtId="0" fontId="32" fillId="30" borderId="15" xfId="0" applyFont="1" applyFill="1" applyBorder="1" applyAlignment="1">
      <alignment horizontal="center" wrapText="1"/>
    </xf>
    <xf numFmtId="0" fontId="29" fillId="30" borderId="21" xfId="0" applyFont="1" applyFill="1" applyBorder="1" applyAlignment="1">
      <alignment horizontal="center" vertical="center"/>
    </xf>
    <xf numFmtId="6" fontId="29" fillId="30" borderId="24" xfId="0" applyNumberFormat="1" applyFont="1" applyFill="1" applyBorder="1" applyAlignment="1">
      <alignment horizontal="center" vertical="center" wrapText="1"/>
    </xf>
    <xf numFmtId="0" fontId="29" fillId="30" borderId="12" xfId="0" applyFont="1" applyFill="1" applyBorder="1" applyAlignment="1">
      <alignment horizontal="center" vertical="center"/>
    </xf>
    <xf numFmtId="0" fontId="29" fillId="30" borderId="0" xfId="0" applyFont="1" applyFill="1" applyBorder="1" applyAlignment="1">
      <alignment horizontal="center" vertical="center" wrapText="1"/>
    </xf>
    <xf numFmtId="0" fontId="29" fillId="30" borderId="21" xfId="0" applyFont="1" applyFill="1" applyBorder="1" applyAlignment="1">
      <alignment horizontal="center" vertical="center" wrapText="1"/>
    </xf>
    <xf numFmtId="165" fontId="29" fillId="30" borderId="23" xfId="0" applyNumberFormat="1" applyFont="1" applyFill="1" applyBorder="1" applyAlignment="1">
      <alignment horizontal="center" vertical="center"/>
    </xf>
    <xf numFmtId="6" fontId="29" fillId="30" borderId="21" xfId="0" applyNumberFormat="1" applyFont="1" applyFill="1" applyBorder="1" applyAlignment="1">
      <alignment horizontal="center" vertical="center"/>
    </xf>
    <xf numFmtId="6" fontId="33" fillId="30" borderId="19" xfId="0" applyNumberFormat="1" applyFont="1" applyFill="1" applyBorder="1" applyAlignment="1">
      <alignment horizontal="center" vertical="center"/>
    </xf>
    <xf numFmtId="6" fontId="29" fillId="30" borderId="21" xfId="0" applyNumberFormat="1" applyFont="1" applyFill="1" applyBorder="1" applyAlignment="1">
      <alignment horizontal="center"/>
    </xf>
    <xf numFmtId="6" fontId="29" fillId="30" borderId="13" xfId="0" applyNumberFormat="1" applyFont="1" applyFill="1" applyBorder="1" applyAlignment="1">
      <alignment horizontal="center"/>
    </xf>
    <xf numFmtId="6" fontId="33" fillId="30" borderId="18" xfId="0" applyNumberFormat="1" applyFont="1" applyFill="1" applyBorder="1" applyAlignment="1">
      <alignment horizontal="center"/>
    </xf>
    <xf numFmtId="6" fontId="33" fillId="30" borderId="19" xfId="0" applyNumberFormat="1" applyFont="1" applyFill="1" applyBorder="1" applyAlignment="1">
      <alignment horizontal="center"/>
    </xf>
    <xf numFmtId="165" fontId="29" fillId="30" borderId="12" xfId="0" applyNumberFormat="1" applyFont="1" applyFill="1" applyBorder="1" applyAlignment="1">
      <alignment horizontal="center"/>
    </xf>
    <xf numFmtId="165" fontId="33" fillId="30" borderId="18" xfId="0" applyNumberFormat="1" applyFont="1" applyFill="1" applyBorder="1" applyAlignment="1">
      <alignment horizontal="center"/>
    </xf>
    <xf numFmtId="165" fontId="29" fillId="30" borderId="21" xfId="0" applyNumberFormat="1" applyFont="1" applyFill="1" applyBorder="1" applyAlignment="1">
      <alignment horizontal="center" wrapText="1"/>
    </xf>
    <xf numFmtId="165" fontId="29" fillId="30" borderId="13" xfId="0" applyNumberFormat="1" applyFont="1" applyFill="1" applyBorder="1" applyAlignment="1">
      <alignment horizontal="center" wrapText="1"/>
    </xf>
    <xf numFmtId="165" fontId="29" fillId="30" borderId="0" xfId="0" applyNumberFormat="1" applyFont="1" applyFill="1" applyBorder="1" applyAlignment="1">
      <alignment horizontal="center" wrapText="1"/>
    </xf>
    <xf numFmtId="165" fontId="29" fillId="30" borderId="0" xfId="0" applyNumberFormat="1" applyFont="1" applyFill="1" applyBorder="1" applyAlignment="1">
      <alignment vertical="center" wrapText="1"/>
    </xf>
    <xf numFmtId="165" fontId="33" fillId="30" borderId="19" xfId="0" applyNumberFormat="1" applyFont="1" applyFill="1" applyBorder="1" applyAlignment="1">
      <alignment horizontal="center" wrapText="1"/>
    </xf>
    <xf numFmtId="165" fontId="33" fillId="30" borderId="0" xfId="0" applyNumberFormat="1" applyFont="1" applyFill="1" applyBorder="1" applyAlignment="1">
      <alignment horizontal="center" wrapText="1"/>
    </xf>
    <xf numFmtId="6" fontId="29" fillId="30" borderId="23" xfId="0" applyNumberFormat="1" applyFont="1" applyFill="1" applyBorder="1" applyAlignment="1">
      <alignment horizontal="center" vertical="center"/>
    </xf>
    <xf numFmtId="6" fontId="29" fillId="30" borderId="0" xfId="0" applyNumberFormat="1" applyFont="1" applyFill="1" applyAlignment="1">
      <alignment horizontal="center" vertical="center" wrapText="1"/>
    </xf>
    <xf numFmtId="6" fontId="29" fillId="0" borderId="13" xfId="0" applyNumberFormat="1" applyFont="1" applyFill="1" applyBorder="1" applyAlignment="1">
      <alignment horizontal="center"/>
    </xf>
    <xf numFmtId="6" fontId="29" fillId="0" borderId="21" xfId="0" applyNumberFormat="1" applyFont="1" applyFill="1" applyBorder="1" applyAlignment="1">
      <alignment horizontal="center" vertical="center"/>
    </xf>
    <xf numFmtId="0" fontId="32" fillId="30" borderId="0" xfId="0" applyFont="1" applyFill="1" applyAlignment="1">
      <alignment horizontal="left" wrapText="1"/>
    </xf>
    <xf numFmtId="6" fontId="33" fillId="25" borderId="19" xfId="0" applyNumberFormat="1" applyFont="1" applyFill="1" applyBorder="1" applyAlignment="1">
      <alignment horizontal="center"/>
    </xf>
    <xf numFmtId="166" fontId="29" fillId="30" borderId="0" xfId="0" applyNumberFormat="1" applyFont="1" applyFill="1" applyAlignment="1">
      <alignment wrapText="1"/>
    </xf>
    <xf numFmtId="0" fontId="29" fillId="30" borderId="0" xfId="0" applyFont="1" applyFill="1" applyAlignment="1">
      <alignment horizontal="center" vertical="center" wrapText="1"/>
    </xf>
    <xf numFmtId="164" fontId="29" fillId="30" borderId="0" xfId="0" applyNumberFormat="1" applyFont="1" applyFill="1" applyAlignment="1">
      <alignment horizontal="center" vertical="center"/>
    </xf>
    <xf numFmtId="0" fontId="33" fillId="30" borderId="23" xfId="0" applyFont="1" applyFill="1" applyBorder="1" applyAlignment="1">
      <alignment horizontal="center" vertical="center" wrapText="1"/>
    </xf>
    <xf numFmtId="0" fontId="33" fillId="30" borderId="23" xfId="0" applyFont="1" applyFill="1" applyBorder="1" applyAlignment="1">
      <alignment horizontal="center" vertical="center"/>
    </xf>
    <xf numFmtId="0" fontId="29" fillId="30" borderId="0" xfId="0" applyFont="1" applyFill="1" applyBorder="1" applyAlignment="1">
      <alignment horizontal="center"/>
    </xf>
    <xf numFmtId="0" fontId="29" fillId="30" borderId="17" xfId="0" applyFont="1" applyFill="1" applyBorder="1" applyAlignment="1">
      <alignment horizontal="center" wrapText="1"/>
    </xf>
    <xf numFmtId="0" fontId="29" fillId="30" borderId="10" xfId="0" applyFont="1" applyFill="1" applyBorder="1" applyAlignment="1">
      <alignment horizontal="center"/>
    </xf>
    <xf numFmtId="0" fontId="29" fillId="30" borderId="15" xfId="0" applyFont="1" applyFill="1" applyBorder="1" applyAlignment="1">
      <alignment horizontal="center"/>
    </xf>
    <xf numFmtId="0" fontId="29" fillId="30" borderId="14" xfId="0" applyFont="1" applyFill="1" applyBorder="1" applyAlignment="1">
      <alignment horizontal="center"/>
    </xf>
    <xf numFmtId="9" fontId="29" fillId="30" borderId="21" xfId="63" applyFont="1" applyFill="1" applyBorder="1" applyAlignment="1">
      <alignment horizontal="center" vertical="center"/>
    </xf>
    <xf numFmtId="9" fontId="29" fillId="30" borderId="24" xfId="63" applyFont="1" applyFill="1" applyBorder="1" applyAlignment="1">
      <alignment horizontal="center" vertical="center"/>
    </xf>
    <xf numFmtId="9" fontId="33" fillId="30" borderId="19" xfId="0" applyNumberFormat="1" applyFont="1" applyFill="1" applyBorder="1" applyAlignment="1">
      <alignment horizontal="center" vertical="center"/>
    </xf>
    <xf numFmtId="0" fontId="29" fillId="30" borderId="0" xfId="0" applyFont="1" applyFill="1" applyAlignment="1">
      <alignment horizontal="center"/>
    </xf>
    <xf numFmtId="0" fontId="33" fillId="30" borderId="0" xfId="0" applyFont="1" applyFill="1" applyAlignment="1">
      <alignment horizontal="center"/>
    </xf>
    <xf numFmtId="164" fontId="29" fillId="30" borderId="21" xfId="0" applyNumberFormat="1" applyFont="1" applyFill="1" applyBorder="1" applyAlignment="1">
      <alignment horizontal="center" vertical="center"/>
    </xf>
    <xf numFmtId="164" fontId="33" fillId="30" borderId="19" xfId="0" applyNumberFormat="1" applyFont="1" applyFill="1" applyBorder="1" applyAlignment="1">
      <alignment horizontal="center" vertical="center"/>
    </xf>
    <xf numFmtId="165" fontId="29" fillId="30" borderId="23" xfId="0" applyNumberFormat="1" applyFont="1" applyFill="1" applyBorder="1" applyAlignment="1">
      <alignment horizontal="center" wrapText="1"/>
    </xf>
    <xf numFmtId="165" fontId="29" fillId="30" borderId="24" xfId="0" applyNumberFormat="1" applyFont="1" applyFill="1" applyBorder="1" applyAlignment="1">
      <alignment horizontal="center" wrapText="1"/>
    </xf>
    <xf numFmtId="9" fontId="38" fillId="30" borderId="21" xfId="63" applyFont="1" applyFill="1" applyBorder="1" applyAlignment="1">
      <alignment horizontal="center" vertical="center"/>
    </xf>
    <xf numFmtId="8" fontId="33" fillId="25" borderId="19" xfId="0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166" fontId="35" fillId="0" borderId="0" xfId="0" applyNumberFormat="1" applyFont="1" applyAlignment="1">
      <alignment horizontal="left"/>
    </xf>
    <xf numFmtId="164" fontId="35" fillId="0" borderId="0" xfId="0" applyNumberFormat="1" applyFont="1" applyAlignment="1">
      <alignment horizontal="center"/>
    </xf>
    <xf numFmtId="165" fontId="35" fillId="0" borderId="0" xfId="0" applyNumberFormat="1" applyFont="1" applyAlignment="1">
      <alignment horizontal="center"/>
    </xf>
    <xf numFmtId="6" fontId="35" fillId="0" borderId="0" xfId="0" applyNumberFormat="1" applyFont="1" applyAlignment="1">
      <alignment horizontal="center"/>
    </xf>
    <xf numFmtId="0" fontId="35" fillId="30" borderId="0" xfId="0" applyFont="1" applyFill="1" applyBorder="1" applyAlignment="1">
      <alignment horizontal="center"/>
    </xf>
    <xf numFmtId="8" fontId="35" fillId="0" borderId="0" xfId="0" applyNumberFormat="1" applyFont="1" applyAlignment="1">
      <alignment horizontal="center"/>
    </xf>
    <xf numFmtId="0" fontId="29" fillId="0" borderId="0" xfId="0" applyFont="1" applyBorder="1" applyAlignment="1">
      <alignment horizontal="center"/>
    </xf>
    <xf numFmtId="1" fontId="29" fillId="0" borderId="0" xfId="0" applyNumberFormat="1" applyFont="1" applyBorder="1" applyAlignment="1">
      <alignment horizontal="center"/>
    </xf>
    <xf numFmtId="6" fontId="29" fillId="0" borderId="0" xfId="0" applyNumberFormat="1" applyFont="1" applyBorder="1" applyAlignment="1">
      <alignment horizontal="center"/>
    </xf>
    <xf numFmtId="165" fontId="29" fillId="0" borderId="0" xfId="0" applyNumberFormat="1" applyFont="1" applyBorder="1" applyAlignment="1">
      <alignment horizontal="center"/>
    </xf>
    <xf numFmtId="165" fontId="29" fillId="0" borderId="0" xfId="0" applyNumberFormat="1" applyFont="1" applyBorder="1"/>
    <xf numFmtId="6" fontId="29" fillId="0" borderId="0" xfId="65" applyNumberFormat="1" applyFont="1" applyBorder="1" applyAlignment="1">
      <alignment horizontal="center"/>
    </xf>
    <xf numFmtId="0" fontId="35" fillId="0" borderId="0" xfId="0" applyFont="1" applyAlignment="1">
      <alignment horizontal="center" textRotation="90"/>
    </xf>
    <xf numFmtId="165" fontId="35" fillId="28" borderId="17" xfId="0" applyNumberFormat="1" applyFont="1" applyFill="1" applyBorder="1" applyAlignment="1">
      <alignment horizontal="center" textRotation="90" wrapText="1"/>
    </xf>
    <xf numFmtId="164" fontId="35" fillId="0" borderId="18" xfId="0" applyNumberFormat="1" applyFont="1" applyBorder="1" applyAlignment="1">
      <alignment horizontal="center" textRotation="90"/>
    </xf>
    <xf numFmtId="164" fontId="35" fillId="0" borderId="20" xfId="0" applyNumberFormat="1" applyFont="1" applyBorder="1" applyAlignment="1">
      <alignment horizontal="center" textRotation="90"/>
    </xf>
    <xf numFmtId="164" fontId="35" fillId="0" borderId="22" xfId="0" applyNumberFormat="1" applyFont="1" applyBorder="1" applyAlignment="1">
      <alignment horizontal="center" textRotation="90"/>
    </xf>
    <xf numFmtId="0" fontId="35" fillId="0" borderId="18" xfId="0" applyFont="1" applyBorder="1" applyAlignment="1">
      <alignment horizontal="center" textRotation="90"/>
    </xf>
    <xf numFmtId="0" fontId="35" fillId="0" borderId="20" xfId="0" applyFont="1" applyBorder="1" applyAlignment="1">
      <alignment horizontal="center" textRotation="90"/>
    </xf>
    <xf numFmtId="165" fontId="35" fillId="0" borderId="18" xfId="0" applyNumberFormat="1" applyFont="1" applyBorder="1" applyAlignment="1">
      <alignment horizontal="center" textRotation="90" wrapText="1"/>
    </xf>
    <xf numFmtId="0" fontId="35" fillId="0" borderId="15" xfId="0" applyFont="1" applyBorder="1" applyAlignment="1">
      <alignment horizontal="center" textRotation="90"/>
    </xf>
    <xf numFmtId="166" fontId="35" fillId="0" borderId="23" xfId="0" applyNumberFormat="1" applyFont="1" applyBorder="1" applyAlignment="1">
      <alignment horizontal="center" textRotation="90"/>
    </xf>
    <xf numFmtId="165" fontId="35" fillId="0" borderId="18" xfId="0" applyNumberFormat="1" applyFont="1" applyBorder="1" applyAlignment="1">
      <alignment horizontal="center" textRotation="90"/>
    </xf>
    <xf numFmtId="1" fontId="29" fillId="0" borderId="17" xfId="0" applyNumberFormat="1" applyFont="1" applyBorder="1" applyAlignment="1">
      <alignment horizontal="center"/>
    </xf>
    <xf numFmtId="1" fontId="29" fillId="0" borderId="10" xfId="0" applyNumberFormat="1" applyFont="1" applyBorder="1" applyAlignment="1">
      <alignment horizontal="center"/>
    </xf>
    <xf numFmtId="1" fontId="29" fillId="0" borderId="11" xfId="0" applyNumberFormat="1" applyFont="1" applyBorder="1" applyAlignment="1">
      <alignment horizontal="center"/>
    </xf>
    <xf numFmtId="1" fontId="29" fillId="0" borderId="12" xfId="0" applyNumberFormat="1" applyFont="1" applyBorder="1" applyAlignment="1">
      <alignment horizontal="center"/>
    </xf>
    <xf numFmtId="1" fontId="29" fillId="0" borderId="13" xfId="0" applyNumberFormat="1" applyFont="1" applyBorder="1" applyAlignment="1">
      <alignment horizontal="center"/>
    </xf>
    <xf numFmtId="1" fontId="29" fillId="0" borderId="14" xfId="0" applyNumberFormat="1" applyFont="1" applyBorder="1" applyAlignment="1">
      <alignment horizontal="center"/>
    </xf>
    <xf numFmtId="1" fontId="29" fillId="0" borderId="15" xfId="0" applyNumberFormat="1" applyFont="1" applyBorder="1" applyAlignment="1">
      <alignment horizontal="center"/>
    </xf>
    <xf numFmtId="1" fontId="29" fillId="0" borderId="16" xfId="0" applyNumberFormat="1" applyFont="1" applyBorder="1" applyAlignment="1">
      <alignment horizontal="center"/>
    </xf>
    <xf numFmtId="166" fontId="33" fillId="0" borderId="0" xfId="0" applyNumberFormat="1" applyFont="1" applyBorder="1"/>
    <xf numFmtId="1" fontId="33" fillId="0" borderId="0" xfId="0" applyNumberFormat="1" applyFont="1" applyBorder="1" applyAlignment="1">
      <alignment horizontal="center"/>
    </xf>
    <xf numFmtId="0" fontId="33" fillId="0" borderId="0" xfId="0" applyFont="1" applyBorder="1"/>
    <xf numFmtId="166" fontId="33" fillId="0" borderId="0" xfId="0" applyNumberFormat="1" applyFont="1" applyBorder="1" applyAlignment="1">
      <alignment wrapText="1"/>
    </xf>
    <xf numFmtId="0" fontId="33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wrapText="1"/>
    </xf>
    <xf numFmtId="0" fontId="33" fillId="0" borderId="0" xfId="0" applyFont="1" applyBorder="1" applyAlignment="1">
      <alignment horizontal="center"/>
    </xf>
    <xf numFmtId="6" fontId="29" fillId="0" borderId="17" xfId="0" applyNumberFormat="1" applyFont="1" applyBorder="1" applyAlignment="1">
      <alignment horizontal="center"/>
    </xf>
    <xf numFmtId="6" fontId="29" fillId="0" borderId="10" xfId="0" applyNumberFormat="1" applyFont="1" applyBorder="1" applyAlignment="1">
      <alignment horizontal="center"/>
    </xf>
    <xf numFmtId="6" fontId="29" fillId="0" borderId="11" xfId="0" applyNumberFormat="1" applyFont="1" applyBorder="1" applyAlignment="1">
      <alignment horizontal="center"/>
    </xf>
    <xf numFmtId="6" fontId="29" fillId="0" borderId="12" xfId="0" applyNumberFormat="1" applyFont="1" applyBorder="1" applyAlignment="1">
      <alignment horizontal="center"/>
    </xf>
    <xf numFmtId="6" fontId="29" fillId="0" borderId="13" xfId="0" applyNumberFormat="1" applyFont="1" applyBorder="1" applyAlignment="1">
      <alignment horizontal="center"/>
    </xf>
    <xf numFmtId="6" fontId="29" fillId="0" borderId="14" xfId="0" applyNumberFormat="1" applyFont="1" applyBorder="1" applyAlignment="1">
      <alignment horizontal="center"/>
    </xf>
    <xf numFmtId="6" fontId="29" fillId="0" borderId="15" xfId="0" applyNumberFormat="1" applyFont="1" applyBorder="1" applyAlignment="1">
      <alignment horizontal="center"/>
    </xf>
    <xf numFmtId="6" fontId="29" fillId="0" borderId="16" xfId="0" applyNumberFormat="1" applyFont="1" applyBorder="1" applyAlignment="1">
      <alignment horizontal="center"/>
    </xf>
    <xf numFmtId="6" fontId="35" fillId="31" borderId="23" xfId="0" applyNumberFormat="1" applyFont="1" applyFill="1" applyBorder="1" applyAlignment="1">
      <alignment horizontal="center" textRotation="90" wrapText="1"/>
    </xf>
    <xf numFmtId="6" fontId="33" fillId="0" borderId="0" xfId="0" applyNumberFormat="1" applyFont="1" applyBorder="1" applyAlignment="1">
      <alignment horizontal="center"/>
    </xf>
    <xf numFmtId="6" fontId="29" fillId="0" borderId="11" xfId="65" applyNumberFormat="1" applyFont="1" applyBorder="1" applyAlignment="1">
      <alignment horizontal="center"/>
    </xf>
    <xf numFmtId="6" fontId="29" fillId="0" borderId="13" xfId="65" applyNumberFormat="1" applyFont="1" applyBorder="1" applyAlignment="1">
      <alignment horizontal="center"/>
    </xf>
    <xf numFmtId="6" fontId="29" fillId="0" borderId="16" xfId="65" applyNumberFormat="1" applyFont="1" applyBorder="1" applyAlignment="1">
      <alignment horizontal="center"/>
    </xf>
    <xf numFmtId="165" fontId="33" fillId="0" borderId="0" xfId="65" applyNumberFormat="1" applyFont="1" applyBorder="1" applyAlignment="1">
      <alignment horizontal="center"/>
    </xf>
    <xf numFmtId="165" fontId="33" fillId="0" borderId="0" xfId="0" applyNumberFormat="1" applyFont="1" applyBorder="1" applyAlignment="1">
      <alignment horizontal="center"/>
    </xf>
    <xf numFmtId="0" fontId="35" fillId="32" borderId="17" xfId="0" applyFont="1" applyFill="1" applyBorder="1" applyAlignment="1">
      <alignment horizontal="center" textRotation="90"/>
    </xf>
    <xf numFmtId="164" fontId="35" fillId="28" borderId="17" xfId="0" applyNumberFormat="1" applyFont="1" applyFill="1" applyBorder="1" applyAlignment="1">
      <alignment horizontal="center" textRotation="90"/>
    </xf>
    <xf numFmtId="165" fontId="35" fillId="33" borderId="17" xfId="0" applyNumberFormat="1" applyFont="1" applyFill="1" applyBorder="1" applyAlignment="1">
      <alignment horizontal="center" textRotation="90"/>
    </xf>
    <xf numFmtId="166" fontId="35" fillId="0" borderId="19" xfId="0" applyNumberFormat="1" applyFont="1" applyBorder="1" applyAlignment="1">
      <alignment horizontal="center" textRotation="90"/>
    </xf>
    <xf numFmtId="6" fontId="35" fillId="0" borderId="19" xfId="0" applyNumberFormat="1" applyFont="1" applyFill="1" applyBorder="1" applyAlignment="1">
      <alignment horizontal="center" textRotation="90" wrapText="1"/>
    </xf>
    <xf numFmtId="8" fontId="35" fillId="0" borderId="20" xfId="0" applyNumberFormat="1" applyFont="1" applyBorder="1" applyAlignment="1">
      <alignment horizontal="center" textRotation="90"/>
    </xf>
    <xf numFmtId="8" fontId="35" fillId="0" borderId="22" xfId="0" applyNumberFormat="1" applyFont="1" applyBorder="1" applyAlignment="1">
      <alignment horizontal="center" textRotation="90"/>
    </xf>
    <xf numFmtId="6" fontId="33" fillId="0" borderId="0" xfId="65" applyNumberFormat="1" applyFont="1" applyBorder="1" applyAlignment="1">
      <alignment horizontal="center"/>
    </xf>
    <xf numFmtId="0" fontId="35" fillId="35" borderId="17" xfId="0" applyFont="1" applyFill="1" applyBorder="1" applyAlignment="1">
      <alignment horizontal="center" textRotation="90"/>
    </xf>
    <xf numFmtId="8" fontId="35" fillId="35" borderId="17" xfId="0" applyNumberFormat="1" applyFont="1" applyFill="1" applyBorder="1" applyAlignment="1">
      <alignment horizontal="center" textRotation="90"/>
    </xf>
    <xf numFmtId="165" fontId="35" fillId="0" borderId="20" xfId="0" applyNumberFormat="1" applyFont="1" applyBorder="1" applyAlignment="1">
      <alignment horizontal="center" textRotation="90"/>
    </xf>
    <xf numFmtId="0" fontId="35" fillId="0" borderId="19" xfId="0" applyFont="1" applyBorder="1" applyAlignment="1">
      <alignment horizontal="center" textRotation="90"/>
    </xf>
    <xf numFmtId="165" fontId="35" fillId="31" borderId="19" xfId="0" applyNumberFormat="1" applyFont="1" applyFill="1" applyBorder="1" applyAlignment="1">
      <alignment horizontal="center" textRotation="90"/>
    </xf>
    <xf numFmtId="6" fontId="35" fillId="0" borderId="18" xfId="0" applyNumberFormat="1" applyFont="1" applyBorder="1" applyAlignment="1">
      <alignment horizontal="center" textRotation="90"/>
    </xf>
    <xf numFmtId="6" fontId="35" fillId="0" borderId="19" xfId="0" applyNumberFormat="1" applyFont="1" applyBorder="1" applyAlignment="1">
      <alignment horizontal="center" textRotation="90"/>
    </xf>
    <xf numFmtId="6" fontId="35" fillId="32" borderId="17" xfId="0" applyNumberFormat="1" applyFont="1" applyFill="1" applyBorder="1" applyAlignment="1">
      <alignment horizontal="center" textRotation="90"/>
    </xf>
    <xf numFmtId="165" fontId="35" fillId="0" borderId="19" xfId="0" applyNumberFormat="1" applyFont="1" applyBorder="1" applyAlignment="1">
      <alignment horizontal="center" textRotation="90"/>
    </xf>
    <xf numFmtId="0" fontId="35" fillId="0" borderId="0" xfId="0" applyFont="1" applyFill="1" applyBorder="1" applyAlignment="1">
      <alignment horizontal="center"/>
    </xf>
    <xf numFmtId="166" fontId="35" fillId="0" borderId="0" xfId="0" applyNumberFormat="1" applyFont="1" applyFill="1" applyBorder="1" applyAlignment="1">
      <alignment horizontal="left"/>
    </xf>
    <xf numFmtId="6" fontId="35" fillId="0" borderId="0" xfId="0" applyNumberFormat="1" applyFont="1" applyFill="1" applyBorder="1" applyAlignment="1">
      <alignment horizontal="center"/>
    </xf>
    <xf numFmtId="165" fontId="35" fillId="0" borderId="0" xfId="0" applyNumberFormat="1" applyFont="1" applyFill="1" applyBorder="1" applyAlignment="1">
      <alignment horizontal="center"/>
    </xf>
    <xf numFmtId="8" fontId="35" fillId="0" borderId="0" xfId="0" applyNumberFormat="1" applyFont="1" applyFill="1" applyBorder="1" applyAlignment="1">
      <alignment horizontal="center"/>
    </xf>
    <xf numFmtId="165" fontId="35" fillId="1" borderId="0" xfId="0" applyNumberFormat="1" applyFont="1" applyFill="1" applyBorder="1" applyAlignment="1">
      <alignment horizontal="center"/>
    </xf>
    <xf numFmtId="165" fontId="35" fillId="36" borderId="0" xfId="0" applyNumberFormat="1" applyFont="1" applyFill="1" applyBorder="1" applyAlignment="1">
      <alignment horizontal="center"/>
    </xf>
    <xf numFmtId="165" fontId="35" fillId="30" borderId="0" xfId="0" applyNumberFormat="1" applyFont="1" applyFill="1" applyBorder="1" applyAlignment="1">
      <alignment horizontal="center"/>
    </xf>
    <xf numFmtId="165" fontId="35" fillId="25" borderId="0" xfId="0" applyNumberFormat="1" applyFont="1" applyFill="1" applyBorder="1" applyAlignment="1">
      <alignment horizontal="center"/>
    </xf>
    <xf numFmtId="6" fontId="35" fillId="30" borderId="0" xfId="0" applyNumberFormat="1" applyFont="1" applyFill="1" applyBorder="1" applyAlignment="1">
      <alignment horizontal="center"/>
    </xf>
    <xf numFmtId="6" fontId="35" fillId="0" borderId="20" xfId="0" applyNumberFormat="1" applyFont="1" applyBorder="1" applyAlignment="1">
      <alignment horizontal="center" textRotation="90"/>
    </xf>
    <xf numFmtId="6" fontId="35" fillId="28" borderId="17" xfId="0" applyNumberFormat="1" applyFont="1" applyFill="1" applyBorder="1" applyAlignment="1">
      <alignment horizontal="center" textRotation="90"/>
    </xf>
    <xf numFmtId="0" fontId="35" fillId="25" borderId="0" xfId="0" applyFont="1" applyFill="1" applyBorder="1" applyAlignment="1">
      <alignment horizontal="center"/>
    </xf>
    <xf numFmtId="0" fontId="35" fillId="32" borderId="0" xfId="0" applyFont="1" applyFill="1" applyBorder="1" applyAlignment="1">
      <alignment horizontal="center"/>
    </xf>
    <xf numFmtId="6" fontId="35" fillId="36" borderId="0" xfId="0" applyNumberFormat="1" applyFont="1" applyFill="1" applyBorder="1" applyAlignment="1">
      <alignment horizontal="center"/>
    </xf>
    <xf numFmtId="6" fontId="35" fillId="25" borderId="0" xfId="0" applyNumberFormat="1" applyFont="1" applyFill="1" applyBorder="1" applyAlignment="1">
      <alignment horizontal="center"/>
    </xf>
    <xf numFmtId="165" fontId="35" fillId="0" borderId="0" xfId="0" applyNumberFormat="1" applyFont="1" applyAlignment="1">
      <alignment horizontal="center" wrapText="1"/>
    </xf>
    <xf numFmtId="0" fontId="35" fillId="0" borderId="25" xfId="0" applyFont="1" applyFill="1" applyBorder="1" applyAlignment="1">
      <alignment horizontal="center"/>
    </xf>
    <xf numFmtId="166" fontId="35" fillId="0" borderId="25" xfId="0" applyNumberFormat="1" applyFont="1" applyFill="1" applyBorder="1" applyAlignment="1">
      <alignment horizontal="left"/>
    </xf>
    <xf numFmtId="165" fontId="35" fillId="1" borderId="25" xfId="0" applyNumberFormat="1" applyFont="1" applyFill="1" applyBorder="1" applyAlignment="1">
      <alignment horizontal="center"/>
    </xf>
    <xf numFmtId="0" fontId="35" fillId="30" borderId="25" xfId="0" applyFont="1" applyFill="1" applyBorder="1" applyAlignment="1">
      <alignment horizontal="center"/>
    </xf>
    <xf numFmtId="6" fontId="35" fillId="0" borderId="25" xfId="0" applyNumberFormat="1" applyFont="1" applyFill="1" applyBorder="1" applyAlignment="1">
      <alignment horizontal="center"/>
    </xf>
    <xf numFmtId="6" fontId="35" fillId="30" borderId="25" xfId="0" applyNumberFormat="1" applyFont="1" applyFill="1" applyBorder="1" applyAlignment="1">
      <alignment horizontal="center"/>
    </xf>
    <xf numFmtId="165" fontId="35" fillId="0" borderId="25" xfId="0" applyNumberFormat="1" applyFont="1" applyFill="1" applyBorder="1" applyAlignment="1">
      <alignment horizontal="center"/>
    </xf>
    <xf numFmtId="8" fontId="35" fillId="0" borderId="25" xfId="0" applyNumberFormat="1" applyFont="1" applyFill="1" applyBorder="1" applyAlignment="1">
      <alignment horizontal="center"/>
    </xf>
    <xf numFmtId="0" fontId="35" fillId="32" borderId="25" xfId="0" applyFont="1" applyFill="1" applyBorder="1" applyAlignment="1">
      <alignment horizontal="center"/>
    </xf>
    <xf numFmtId="6" fontId="35" fillId="36" borderId="25" xfId="0" applyNumberFormat="1" applyFont="1" applyFill="1" applyBorder="1" applyAlignment="1">
      <alignment horizontal="center"/>
    </xf>
    <xf numFmtId="165" fontId="35" fillId="30" borderId="25" xfId="0" applyNumberFormat="1" applyFont="1" applyFill="1" applyBorder="1" applyAlignment="1">
      <alignment horizontal="center"/>
    </xf>
    <xf numFmtId="165" fontId="35" fillId="36" borderId="25" xfId="0" applyNumberFormat="1" applyFont="1" applyFill="1" applyBorder="1" applyAlignment="1">
      <alignment horizontal="center"/>
    </xf>
    <xf numFmtId="6" fontId="29" fillId="0" borderId="0" xfId="0" applyNumberFormat="1" applyFont="1" applyBorder="1" applyAlignment="1">
      <alignment horizontal="center" vertical="center"/>
    </xf>
    <xf numFmtId="0" fontId="33" fillId="30" borderId="0" xfId="0" applyFont="1" applyFill="1" applyBorder="1" applyAlignment="1">
      <alignment horizontal="center" wrapText="1"/>
    </xf>
    <xf numFmtId="0" fontId="35" fillId="37" borderId="0" xfId="0" applyFont="1" applyFill="1" applyBorder="1" applyAlignment="1">
      <alignment horizontal="center"/>
    </xf>
    <xf numFmtId="8" fontId="35" fillId="37" borderId="0" xfId="0" applyNumberFormat="1" applyFont="1" applyFill="1" applyBorder="1" applyAlignment="1">
      <alignment horizontal="center"/>
    </xf>
    <xf numFmtId="0" fontId="35" fillId="37" borderId="25" xfId="0" applyFont="1" applyFill="1" applyBorder="1" applyAlignment="1">
      <alignment horizontal="center"/>
    </xf>
    <xf numFmtId="8" fontId="35" fillId="37" borderId="25" xfId="0" applyNumberFormat="1" applyFont="1" applyFill="1" applyBorder="1" applyAlignment="1">
      <alignment horizontal="center"/>
    </xf>
    <xf numFmtId="0" fontId="35" fillId="37" borderId="25" xfId="0" applyFont="1" applyFill="1" applyBorder="1" applyAlignment="1">
      <alignment horizontal="center" vertical="center"/>
    </xf>
    <xf numFmtId="0" fontId="35" fillId="37" borderId="25" xfId="0" applyFont="1" applyFill="1" applyBorder="1" applyAlignment="1">
      <alignment horizontal="center" vertical="center" wrapText="1"/>
    </xf>
    <xf numFmtId="0" fontId="35" fillId="37" borderId="0" xfId="0" applyFont="1" applyFill="1" applyBorder="1" applyAlignment="1">
      <alignment horizontal="center" vertical="center"/>
    </xf>
    <xf numFmtId="0" fontId="35" fillId="37" borderId="0" xfId="0" applyFont="1" applyFill="1" applyBorder="1" applyAlignment="1">
      <alignment horizontal="center" vertical="center" wrapText="1"/>
    </xf>
    <xf numFmtId="8" fontId="35" fillId="35" borderId="19" xfId="0" applyNumberFormat="1" applyFont="1" applyFill="1" applyBorder="1" applyAlignment="1">
      <alignment horizontal="center" textRotation="90"/>
    </xf>
    <xf numFmtId="9" fontId="33" fillId="0" borderId="0" xfId="63" applyFont="1" applyBorder="1" applyAlignment="1">
      <alignment horizontal="center"/>
    </xf>
    <xf numFmtId="6" fontId="29" fillId="38" borderId="0" xfId="65" applyNumberFormat="1" applyFont="1" applyFill="1" applyBorder="1" applyAlignment="1">
      <alignment horizontal="center"/>
    </xf>
    <xf numFmtId="164" fontId="33" fillId="0" borderId="0" xfId="0" applyNumberFormat="1" applyFont="1" applyBorder="1" applyAlignment="1">
      <alignment horizontal="center"/>
    </xf>
    <xf numFmtId="6" fontId="29" fillId="38" borderId="10" xfId="65" applyNumberFormat="1" applyFont="1" applyFill="1" applyBorder="1" applyAlignment="1">
      <alignment horizontal="center"/>
    </xf>
    <xf numFmtId="165" fontId="29" fillId="0" borderId="10" xfId="0" applyNumberFormat="1" applyFont="1" applyBorder="1" applyAlignment="1">
      <alignment horizontal="center"/>
    </xf>
    <xf numFmtId="6" fontId="29" fillId="38" borderId="11" xfId="65" applyNumberFormat="1" applyFont="1" applyFill="1" applyBorder="1" applyAlignment="1">
      <alignment horizontal="center"/>
    </xf>
    <xf numFmtId="6" fontId="29" fillId="38" borderId="13" xfId="65" applyNumberFormat="1" applyFont="1" applyFill="1" applyBorder="1" applyAlignment="1">
      <alignment horizontal="center"/>
    </xf>
    <xf numFmtId="6" fontId="29" fillId="38" borderId="15" xfId="65" applyNumberFormat="1" applyFont="1" applyFill="1" applyBorder="1" applyAlignment="1">
      <alignment horizontal="center"/>
    </xf>
    <xf numFmtId="165" fontId="29" fillId="0" borderId="15" xfId="0" applyNumberFormat="1" applyFont="1" applyBorder="1" applyAlignment="1">
      <alignment horizontal="center"/>
    </xf>
    <xf numFmtId="6" fontId="29" fillId="38" borderId="16" xfId="65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wrapText="1"/>
    </xf>
    <xf numFmtId="6" fontId="29" fillId="0" borderId="0" xfId="65" applyNumberFormat="1" applyFont="1" applyFill="1" applyBorder="1" applyAlignment="1">
      <alignment horizontal="center"/>
    </xf>
    <xf numFmtId="9" fontId="29" fillId="0" borderId="0" xfId="63" applyFont="1" applyBorder="1" applyAlignment="1">
      <alignment horizontal="center"/>
    </xf>
    <xf numFmtId="165" fontId="29" fillId="0" borderId="17" xfId="0" applyNumberFormat="1" applyFont="1" applyBorder="1" applyAlignment="1">
      <alignment horizontal="center"/>
    </xf>
    <xf numFmtId="165" fontId="29" fillId="0" borderId="12" xfId="0" applyNumberFormat="1" applyFont="1" applyBorder="1" applyAlignment="1">
      <alignment horizontal="center"/>
    </xf>
    <xf numFmtId="165" fontId="29" fillId="0" borderId="14" xfId="0" applyNumberFormat="1" applyFont="1" applyBorder="1" applyAlignment="1">
      <alignment horizontal="center"/>
    </xf>
    <xf numFmtId="6" fontId="29" fillId="0" borderId="23" xfId="0" applyNumberFormat="1" applyFont="1" applyBorder="1" applyAlignment="1">
      <alignment horizontal="center"/>
    </xf>
    <xf numFmtId="6" fontId="29" fillId="0" borderId="21" xfId="0" applyNumberFormat="1" applyFont="1" applyBorder="1" applyAlignment="1">
      <alignment horizontal="center"/>
    </xf>
    <xf numFmtId="6" fontId="29" fillId="0" borderId="24" xfId="0" applyNumberFormat="1" applyFont="1" applyBorder="1" applyAlignment="1">
      <alignment horizontal="center"/>
    </xf>
    <xf numFmtId="164" fontId="29" fillId="0" borderId="11" xfId="0" applyNumberFormat="1" applyFont="1" applyBorder="1" applyAlignment="1">
      <alignment horizontal="center"/>
    </xf>
    <xf numFmtId="164" fontId="29" fillId="0" borderId="13" xfId="0" applyNumberFormat="1" applyFont="1" applyBorder="1" applyAlignment="1">
      <alignment horizontal="center"/>
    </xf>
    <xf numFmtId="165" fontId="35" fillId="0" borderId="22" xfId="0" applyNumberFormat="1" applyFont="1" applyBorder="1" applyAlignment="1">
      <alignment horizontal="center" textRotation="90"/>
    </xf>
    <xf numFmtId="0" fontId="35" fillId="0" borderId="22" xfId="0" applyFont="1" applyBorder="1" applyAlignment="1">
      <alignment horizontal="center" textRotation="90"/>
    </xf>
    <xf numFmtId="165" fontId="35" fillId="0" borderId="20" xfId="0" applyNumberFormat="1" applyFont="1" applyBorder="1" applyAlignment="1">
      <alignment horizontal="center" textRotation="90" wrapText="1"/>
    </xf>
    <xf numFmtId="165" fontId="35" fillId="0" borderId="22" xfId="0" applyNumberFormat="1" applyFont="1" applyBorder="1" applyAlignment="1">
      <alignment horizontal="center" textRotation="90" wrapText="1"/>
    </xf>
    <xf numFmtId="6" fontId="35" fillId="0" borderId="22" xfId="0" applyNumberFormat="1" applyFont="1" applyBorder="1" applyAlignment="1">
      <alignment horizontal="center" textRotation="90"/>
    </xf>
    <xf numFmtId="9" fontId="29" fillId="0" borderId="10" xfId="63" applyFont="1" applyBorder="1" applyAlignment="1">
      <alignment horizontal="center"/>
    </xf>
    <xf numFmtId="9" fontId="29" fillId="0" borderId="15" xfId="63" applyFont="1" applyBorder="1" applyAlignment="1">
      <alignment horizontal="center"/>
    </xf>
    <xf numFmtId="164" fontId="29" fillId="0" borderId="16" xfId="0" applyNumberFormat="1" applyFont="1" applyBorder="1" applyAlignment="1">
      <alignment horizontal="center"/>
    </xf>
    <xf numFmtId="165" fontId="29" fillId="0" borderId="23" xfId="0" applyNumberFormat="1" applyFont="1" applyBorder="1" applyAlignment="1">
      <alignment horizontal="center"/>
    </xf>
    <xf numFmtId="165" fontId="29" fillId="0" borderId="21" xfId="0" applyNumberFormat="1" applyFont="1" applyBorder="1" applyAlignment="1">
      <alignment horizontal="center"/>
    </xf>
    <xf numFmtId="165" fontId="29" fillId="0" borderId="24" xfId="0" applyNumberFormat="1" applyFont="1" applyBorder="1" applyAlignment="1">
      <alignment horizontal="center"/>
    </xf>
    <xf numFmtId="165" fontId="29" fillId="0" borderId="0" xfId="0" applyNumberFormat="1" applyFont="1" applyBorder="1" applyAlignment="1">
      <alignment horizontal="left"/>
    </xf>
    <xf numFmtId="0" fontId="33" fillId="30" borderId="0" xfId="0" applyFont="1" applyFill="1" applyBorder="1" applyAlignment="1">
      <alignment horizontal="center" wrapText="1"/>
    </xf>
    <xf numFmtId="165" fontId="35" fillId="34" borderId="17" xfId="0" applyNumberFormat="1" applyFont="1" applyFill="1" applyBorder="1" applyAlignment="1">
      <alignment horizontal="center" textRotation="90"/>
    </xf>
    <xf numFmtId="165" fontId="35" fillId="37" borderId="0" xfId="0" applyNumberFormat="1" applyFont="1" applyFill="1" applyBorder="1" applyAlignment="1">
      <alignment horizontal="center"/>
    </xf>
    <xf numFmtId="165" fontId="35" fillId="37" borderId="25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wrapText="1"/>
    </xf>
    <xf numFmtId="165" fontId="29" fillId="0" borderId="0" xfId="0" applyNumberFormat="1" applyFont="1" applyAlignment="1">
      <alignment horizontal="center"/>
    </xf>
    <xf numFmtId="0" fontId="29" fillId="0" borderId="0" xfId="0" applyFont="1"/>
    <xf numFmtId="164" fontId="29" fillId="0" borderId="17" xfId="0" applyNumberFormat="1" applyFont="1" applyBorder="1" applyAlignment="1">
      <alignment horizontal="right"/>
    </xf>
    <xf numFmtId="164" fontId="39" fillId="0" borderId="10" xfId="0" applyNumberFormat="1" applyFont="1" applyBorder="1" applyAlignment="1">
      <alignment horizontal="left"/>
    </xf>
    <xf numFmtId="164" fontId="29" fillId="0" borderId="12" xfId="0" applyNumberFormat="1" applyFont="1" applyBorder="1" applyAlignment="1">
      <alignment horizontal="right"/>
    </xf>
    <xf numFmtId="164" fontId="39" fillId="0" borderId="0" xfId="0" applyNumberFormat="1" applyFont="1" applyAlignment="1">
      <alignment horizontal="left"/>
    </xf>
    <xf numFmtId="9" fontId="29" fillId="0" borderId="13" xfId="65" applyFont="1" applyBorder="1" applyAlignment="1">
      <alignment horizontal="center"/>
    </xf>
    <xf numFmtId="9" fontId="29" fillId="0" borderId="21" xfId="0" applyNumberFormat="1" applyFont="1" applyBorder="1" applyAlignment="1">
      <alignment horizontal="center"/>
    </xf>
    <xf numFmtId="164" fontId="29" fillId="0" borderId="14" xfId="0" applyNumberFormat="1" applyFont="1" applyBorder="1" applyAlignment="1">
      <alignment horizontal="right"/>
    </xf>
    <xf numFmtId="164" fontId="39" fillId="0" borderId="15" xfId="0" applyNumberFormat="1" applyFont="1" applyBorder="1" applyAlignment="1">
      <alignment horizontal="left"/>
    </xf>
    <xf numFmtId="164" fontId="29" fillId="0" borderId="0" xfId="0" applyNumberFormat="1" applyFont="1" applyAlignment="1">
      <alignment horizontal="center"/>
    </xf>
    <xf numFmtId="6" fontId="29" fillId="0" borderId="19" xfId="0" applyNumberFormat="1" applyFont="1" applyBorder="1" applyAlignment="1">
      <alignment horizontal="center"/>
    </xf>
    <xf numFmtId="166" fontId="33" fillId="0" borderId="18" xfId="0" applyNumberFormat="1" applyFont="1" applyBorder="1"/>
    <xf numFmtId="6" fontId="33" fillId="0" borderId="20" xfId="0" applyNumberFormat="1" applyFont="1" applyBorder="1" applyAlignment="1">
      <alignment horizontal="center"/>
    </xf>
    <xf numFmtId="6" fontId="33" fillId="0" borderId="22" xfId="65" applyNumberFormat="1" applyFont="1" applyBorder="1" applyAlignment="1">
      <alignment horizontal="center"/>
    </xf>
    <xf numFmtId="6" fontId="29" fillId="30" borderId="19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10" xfId="0" applyNumberFormat="1" applyBorder="1"/>
    <xf numFmtId="164" fontId="0" fillId="0" borderId="0" xfId="0" applyNumberFormat="1" applyBorder="1"/>
    <xf numFmtId="164" fontId="20" fillId="0" borderId="0" xfId="0" applyNumberFormat="1" applyFont="1" applyBorder="1"/>
    <xf numFmtId="0" fontId="20" fillId="0" borderId="13" xfId="0" applyFont="1" applyBorder="1"/>
    <xf numFmtId="164" fontId="0" fillId="0" borderId="15" xfId="0" applyNumberFormat="1" applyBorder="1"/>
    <xf numFmtId="0" fontId="1" fillId="0" borderId="12" xfId="0" applyFont="1" applyBorder="1"/>
    <xf numFmtId="164" fontId="1" fillId="0" borderId="0" xfId="0" applyNumberFormat="1" applyFont="1" applyBorder="1"/>
    <xf numFmtId="16" fontId="0" fillId="0" borderId="13" xfId="0" applyNumberFormat="1" applyBorder="1"/>
    <xf numFmtId="165" fontId="0" fillId="0" borderId="0" xfId="0" applyNumberFormat="1" applyBorder="1"/>
    <xf numFmtId="164" fontId="20" fillId="0" borderId="0" xfId="0" applyNumberFormat="1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8" fontId="29" fillId="0" borderId="0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33" fillId="30" borderId="0" xfId="0" applyFont="1" applyFill="1" applyAlignment="1">
      <alignment horizontal="center" vertical="center" wrapText="1"/>
    </xf>
    <xf numFmtId="164" fontId="29" fillId="0" borderId="0" xfId="0" applyNumberFormat="1" applyFont="1" applyAlignment="1">
      <alignment horizontal="center" vertical="top" wrapText="1"/>
    </xf>
    <xf numFmtId="165" fontId="29" fillId="0" borderId="0" xfId="0" applyNumberFormat="1" applyFont="1" applyBorder="1" applyAlignment="1">
      <alignment horizontal="left"/>
    </xf>
    <xf numFmtId="0" fontId="32" fillId="30" borderId="0" xfId="0" applyFont="1" applyFill="1" applyAlignment="1">
      <alignment horizontal="left" wrapText="1"/>
    </xf>
    <xf numFmtId="0" fontId="33" fillId="30" borderId="0" xfId="0" applyFont="1" applyFill="1" applyBorder="1" applyAlignment="1">
      <alignment horizont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 2" xfId="28" xr:uid="{00000000-0005-0000-0000-00001B000000}"/>
    <cellStyle name="Comma 10" xfId="29" xr:uid="{00000000-0005-0000-0000-00001C000000}"/>
    <cellStyle name="Comma 2" xfId="30" xr:uid="{00000000-0005-0000-0000-00001D000000}"/>
    <cellStyle name="Comma 3" xfId="31" xr:uid="{00000000-0005-0000-0000-00001E000000}"/>
    <cellStyle name="Comma 4" xfId="32" xr:uid="{00000000-0005-0000-0000-00001F000000}"/>
    <cellStyle name="Comma 5" xfId="33" xr:uid="{00000000-0005-0000-0000-000020000000}"/>
    <cellStyle name="Comma 6" xfId="34" xr:uid="{00000000-0005-0000-0000-000021000000}"/>
    <cellStyle name="Comma 7" xfId="35" xr:uid="{00000000-0005-0000-0000-000022000000}"/>
    <cellStyle name="Comma 8" xfId="36" xr:uid="{00000000-0005-0000-0000-000023000000}"/>
    <cellStyle name="Comma 9" xfId="37" xr:uid="{00000000-0005-0000-0000-000024000000}"/>
    <cellStyle name="Currency" xfId="38" builtinId="4"/>
    <cellStyle name="Currency [0] 2" xfId="39" xr:uid="{00000000-0005-0000-0000-000026000000}"/>
    <cellStyle name="Currency 10" xfId="40" xr:uid="{00000000-0005-0000-0000-000027000000}"/>
    <cellStyle name="Currency 11" xfId="41" xr:uid="{00000000-0005-0000-0000-000028000000}"/>
    <cellStyle name="Currency 2" xfId="42" xr:uid="{00000000-0005-0000-0000-000029000000}"/>
    <cellStyle name="Currency 3" xfId="43" xr:uid="{00000000-0005-0000-0000-00002A000000}"/>
    <cellStyle name="Currency 4" xfId="44" xr:uid="{00000000-0005-0000-0000-00002B000000}"/>
    <cellStyle name="Currency 5" xfId="45" xr:uid="{00000000-0005-0000-0000-00002C000000}"/>
    <cellStyle name="Currency 6" xfId="46" xr:uid="{00000000-0005-0000-0000-00002D000000}"/>
    <cellStyle name="Currency 7" xfId="47" xr:uid="{00000000-0005-0000-0000-00002E000000}"/>
    <cellStyle name="Currency 8" xfId="48" xr:uid="{00000000-0005-0000-0000-00002F000000}"/>
    <cellStyle name="Currency 9" xfId="49" xr:uid="{00000000-0005-0000-0000-000030000000}"/>
    <cellStyle name="Explanatory Text" xfId="50" builtinId="53" customBuiltin="1"/>
    <cellStyle name="Good" xfId="51" builtinId="26" customBuiltin="1"/>
    <cellStyle name="Heading 1" xfId="52" builtinId="16" customBuiltin="1"/>
    <cellStyle name="Heading 2" xfId="53" builtinId="17" customBuiltin="1"/>
    <cellStyle name="Heading 3" xfId="54" builtinId="18" customBuiltin="1"/>
    <cellStyle name="Heading 4" xfId="55" builtinId="19" customBuiltin="1"/>
    <cellStyle name="Input" xfId="56" builtinId="20" customBuiltin="1"/>
    <cellStyle name="Linked Cell" xfId="57" builtinId="24" customBuiltin="1"/>
    <cellStyle name="Neutral" xfId="58" builtinId="28" customBuiltin="1"/>
    <cellStyle name="Normal" xfId="0" builtinId="0"/>
    <cellStyle name="Normal 2" xfId="59" xr:uid="{00000000-0005-0000-0000-00003B000000}"/>
    <cellStyle name="Note" xfId="60" builtinId="10" customBuiltin="1"/>
    <cellStyle name="Note 2" xfId="61" xr:uid="{00000000-0005-0000-0000-00003D000000}"/>
    <cellStyle name="Output" xfId="62" builtinId="21" customBuiltin="1"/>
    <cellStyle name="Percent" xfId="63" builtinId="5"/>
    <cellStyle name="Percent 2" xfId="64" xr:uid="{00000000-0005-0000-0000-000040000000}"/>
    <cellStyle name="Percent 3" xfId="65" xr:uid="{00000000-0005-0000-0000-000041000000}"/>
    <cellStyle name="Title" xfId="66" builtinId="15" customBuiltin="1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9F7E2"/>
      <rgbColor rgb="00FFFF99"/>
      <rgbColor rgb="0099CCFF"/>
      <rgbColor rgb="00FF99CC"/>
      <rgbColor rgb="00CC99FF"/>
      <rgbColor rgb="00FFCC99"/>
      <rgbColor rgb="003366FF"/>
      <rgbColor rgb="0033CCCC"/>
      <rgbColor rgb="00BACE99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E237E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1304925</xdr:colOff>
      <xdr:row>43</xdr:row>
      <xdr:rowOff>180975</xdr:rowOff>
    </xdr:from>
    <xdr:to>
      <xdr:col>14</xdr:col>
      <xdr:colOff>0</xdr:colOff>
      <xdr:row>45</xdr:row>
      <xdr:rowOff>333375</xdr:rowOff>
    </xdr:to>
    <xdr:pic>
      <xdr:nvPicPr>
        <xdr:cNvPr id="21389" name="Picture 2">
          <a:extLst>
            <a:ext uri="{FF2B5EF4-FFF2-40B4-BE49-F238E27FC236}">
              <a16:creationId xmlns:a16="http://schemas.microsoft.com/office/drawing/2014/main" id="{E103C9F7-A161-4F79-9F64-6E6187753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0" y="9944100"/>
          <a:ext cx="12287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1581150</xdr:colOff>
      <xdr:row>2</xdr:row>
      <xdr:rowOff>0</xdr:rowOff>
    </xdr:from>
    <xdr:to>
      <xdr:col>18</xdr:col>
      <xdr:colOff>1228725</xdr:colOff>
      <xdr:row>4</xdr:row>
      <xdr:rowOff>285750</xdr:rowOff>
    </xdr:to>
    <xdr:pic>
      <xdr:nvPicPr>
        <xdr:cNvPr id="21390" name="Picture 5">
          <a:extLst>
            <a:ext uri="{FF2B5EF4-FFF2-40B4-BE49-F238E27FC236}">
              <a16:creationId xmlns:a16="http://schemas.microsoft.com/office/drawing/2014/main" id="{8B19E0E7-1D77-41BC-A725-C919B7C9D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466725"/>
          <a:ext cx="1562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933450</xdr:colOff>
      <xdr:row>79</xdr:row>
      <xdr:rowOff>95250</xdr:rowOff>
    </xdr:from>
    <xdr:to>
      <xdr:col>13</xdr:col>
      <xdr:colOff>1857375</xdr:colOff>
      <xdr:row>81</xdr:row>
      <xdr:rowOff>314325</xdr:rowOff>
    </xdr:to>
    <xdr:pic>
      <xdr:nvPicPr>
        <xdr:cNvPr id="21391" name="Picture 2">
          <a:extLst>
            <a:ext uri="{FF2B5EF4-FFF2-40B4-BE49-F238E27FC236}">
              <a16:creationId xmlns:a16="http://schemas.microsoft.com/office/drawing/2014/main" id="{CA0D0C45-D162-40A1-BD92-DD447A1BF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0" y="18126075"/>
          <a:ext cx="13430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371475</xdr:rowOff>
    </xdr:from>
    <xdr:to>
      <xdr:col>1</xdr:col>
      <xdr:colOff>0</xdr:colOff>
      <xdr:row>5</xdr:row>
      <xdr:rowOff>76200</xdr:rowOff>
    </xdr:to>
    <xdr:pic>
      <xdr:nvPicPr>
        <xdr:cNvPr id="21392" name="Picture 1">
          <a:extLst>
            <a:ext uri="{FF2B5EF4-FFF2-40B4-BE49-F238E27FC236}">
              <a16:creationId xmlns:a16="http://schemas.microsoft.com/office/drawing/2014/main" id="{C75ABD9C-B967-436B-B8A8-4FEC01B73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09550"/>
          <a:ext cx="9525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42</xdr:row>
      <xdr:rowOff>342900</xdr:rowOff>
    </xdr:from>
    <xdr:to>
      <xdr:col>1</xdr:col>
      <xdr:colOff>0</xdr:colOff>
      <xdr:row>47</xdr:row>
      <xdr:rowOff>9525</xdr:rowOff>
    </xdr:to>
    <xdr:pic>
      <xdr:nvPicPr>
        <xdr:cNvPr id="21393" name="Picture 6">
          <a:extLst>
            <a:ext uri="{FF2B5EF4-FFF2-40B4-BE49-F238E27FC236}">
              <a16:creationId xmlns:a16="http://schemas.microsoft.com/office/drawing/2014/main" id="{890F7C0A-7052-444B-AD80-8996B3D96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763125"/>
          <a:ext cx="10096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79</xdr:row>
      <xdr:rowOff>142875</xdr:rowOff>
    </xdr:from>
    <xdr:to>
      <xdr:col>1</xdr:col>
      <xdr:colOff>0</xdr:colOff>
      <xdr:row>83</xdr:row>
      <xdr:rowOff>209550</xdr:rowOff>
    </xdr:to>
    <xdr:pic>
      <xdr:nvPicPr>
        <xdr:cNvPr id="21394" name="Picture 7">
          <a:extLst>
            <a:ext uri="{FF2B5EF4-FFF2-40B4-BE49-F238E27FC236}">
              <a16:creationId xmlns:a16="http://schemas.microsoft.com/office/drawing/2014/main" id="{A56FBEAC-58A7-482A-B364-77D61F99E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173700"/>
          <a:ext cx="10096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342900</xdr:colOff>
      <xdr:row>43</xdr:row>
      <xdr:rowOff>76200</xdr:rowOff>
    </xdr:from>
    <xdr:to>
      <xdr:col>9</xdr:col>
      <xdr:colOff>1304925</xdr:colOff>
      <xdr:row>45</xdr:row>
      <xdr:rowOff>247650</xdr:rowOff>
    </xdr:to>
    <xdr:pic>
      <xdr:nvPicPr>
        <xdr:cNvPr id="96273" name="Picture 2">
          <a:extLst>
            <a:ext uri="{FF2B5EF4-FFF2-40B4-BE49-F238E27FC236}">
              <a16:creationId xmlns:a16="http://schemas.microsoft.com/office/drawing/2014/main" id="{510B997C-2F11-418B-BB83-E2F3DE890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0" y="10267950"/>
          <a:ext cx="17526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1</xdr:row>
      <xdr:rowOff>76200</xdr:rowOff>
    </xdr:from>
    <xdr:to>
      <xdr:col>11</xdr:col>
      <xdr:colOff>1123950</xdr:colOff>
      <xdr:row>3</xdr:row>
      <xdr:rowOff>247650</xdr:rowOff>
    </xdr:to>
    <xdr:pic>
      <xdr:nvPicPr>
        <xdr:cNvPr id="96274" name="Picture 5">
          <a:extLst>
            <a:ext uri="{FF2B5EF4-FFF2-40B4-BE49-F238E27FC236}">
              <a16:creationId xmlns:a16="http://schemas.microsoft.com/office/drawing/2014/main" id="{39FB76B8-1B62-4B26-9A7E-7EF3B56A3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2775" y="285750"/>
          <a:ext cx="1990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238125</xdr:colOff>
      <xdr:row>80</xdr:row>
      <xdr:rowOff>180975</xdr:rowOff>
    </xdr:from>
    <xdr:to>
      <xdr:col>9</xdr:col>
      <xdr:colOff>1228725</xdr:colOff>
      <xdr:row>82</xdr:row>
      <xdr:rowOff>295275</xdr:rowOff>
    </xdr:to>
    <xdr:pic>
      <xdr:nvPicPr>
        <xdr:cNvPr id="96275" name="Picture 2">
          <a:extLst>
            <a:ext uri="{FF2B5EF4-FFF2-40B4-BE49-F238E27FC236}">
              <a16:creationId xmlns:a16="http://schemas.microsoft.com/office/drawing/2014/main" id="{9574BD81-CF67-4CEA-B267-4A4B73325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18849975"/>
          <a:ext cx="1857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533400</xdr:colOff>
      <xdr:row>0</xdr:row>
      <xdr:rowOff>352425</xdr:rowOff>
    </xdr:from>
    <xdr:to>
      <xdr:col>0</xdr:col>
      <xdr:colOff>2409825</xdr:colOff>
      <xdr:row>4</xdr:row>
      <xdr:rowOff>371475</xdr:rowOff>
    </xdr:to>
    <xdr:pic>
      <xdr:nvPicPr>
        <xdr:cNvPr id="96276" name="Picture 1">
          <a:extLst>
            <a:ext uri="{FF2B5EF4-FFF2-40B4-BE49-F238E27FC236}">
              <a16:creationId xmlns:a16="http://schemas.microsoft.com/office/drawing/2014/main" id="{48644A9B-53F8-4D29-B6EE-550FB91E0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09550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457200</xdr:colOff>
      <xdr:row>42</xdr:row>
      <xdr:rowOff>352425</xdr:rowOff>
    </xdr:from>
    <xdr:to>
      <xdr:col>0</xdr:col>
      <xdr:colOff>2409825</xdr:colOff>
      <xdr:row>47</xdr:row>
      <xdr:rowOff>47625</xdr:rowOff>
    </xdr:to>
    <xdr:pic>
      <xdr:nvPicPr>
        <xdr:cNvPr id="96277" name="Picture 6">
          <a:extLst>
            <a:ext uri="{FF2B5EF4-FFF2-40B4-BE49-F238E27FC236}">
              <a16:creationId xmlns:a16="http://schemas.microsoft.com/office/drawing/2014/main" id="{17FDD9BF-CDFD-473E-9C99-661DF091C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0191750"/>
          <a:ext cx="7810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428625</xdr:colOff>
      <xdr:row>79</xdr:row>
      <xdr:rowOff>142875</xdr:rowOff>
    </xdr:from>
    <xdr:to>
      <xdr:col>0</xdr:col>
      <xdr:colOff>2409825</xdr:colOff>
      <xdr:row>83</xdr:row>
      <xdr:rowOff>180975</xdr:rowOff>
    </xdr:to>
    <xdr:pic>
      <xdr:nvPicPr>
        <xdr:cNvPr id="96278" name="Picture 7">
          <a:extLst>
            <a:ext uri="{FF2B5EF4-FFF2-40B4-BE49-F238E27FC236}">
              <a16:creationId xmlns:a16="http://schemas.microsoft.com/office/drawing/2014/main" id="{C2CD728C-07FF-4798-B197-77E92458C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8602325"/>
          <a:ext cx="8096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113"/>
  <sheetViews>
    <sheetView showGridLines="0" tabSelected="1" zoomScale="110" zoomScaleNormal="110" workbookViewId="0">
      <pane xSplit="2" ySplit="4" topLeftCell="C80" activePane="bottomRight" state="frozen"/>
      <selection pane="topRight" activeCell="B1" sqref="B1"/>
      <selection pane="bottomLeft" activeCell="A5" sqref="A5"/>
      <selection pane="bottomRight" activeCell="CN83" sqref="CN83"/>
    </sheetView>
  </sheetViews>
  <sheetFormatPr defaultColWidth="8.85546875" defaultRowHeight="12.75" x14ac:dyDescent="0.2"/>
  <cols>
    <col min="1" max="1" width="10.28515625" style="249" bestFit="1" customWidth="1"/>
    <col min="2" max="2" width="6.28515625" style="250" bestFit="1" customWidth="1"/>
    <col min="3" max="6" width="3.28515625" style="249" bestFit="1" customWidth="1"/>
    <col min="7" max="14" width="3.28515625" style="249" hidden="1" customWidth="1"/>
    <col min="15" max="16" width="3.5703125" style="249" bestFit="1" customWidth="1"/>
    <col min="17" max="17" width="8.5703125" style="253" customWidth="1"/>
    <col min="18" max="21" width="4.140625" style="252" hidden="1" customWidth="1"/>
    <col min="22" max="29" width="3.28515625" style="252" hidden="1" customWidth="1"/>
    <col min="30" max="33" width="5" style="252" hidden="1" customWidth="1"/>
    <col min="34" max="41" width="3.28515625" style="252" hidden="1" customWidth="1"/>
    <col min="42" max="44" width="4.140625" style="252" hidden="1" customWidth="1"/>
    <col min="45" max="45" width="5" style="252" hidden="1" customWidth="1"/>
    <col min="46" max="53" width="3.28515625" style="252" hidden="1" customWidth="1"/>
    <col min="54" max="56" width="5" style="252" hidden="1" customWidth="1"/>
    <col min="57" max="57" width="5.7109375" style="252" hidden="1" customWidth="1"/>
    <col min="58" max="65" width="3.28515625" style="252" hidden="1" customWidth="1"/>
    <col min="66" max="66" width="5" style="253" hidden="1" customWidth="1"/>
    <col min="67" max="69" width="6.28515625" style="253" hidden="1" customWidth="1"/>
    <col min="70" max="77" width="3.28515625" style="251" hidden="1" customWidth="1"/>
    <col min="78" max="81" width="5.5703125" style="253" hidden="1" customWidth="1"/>
    <col min="82" max="89" width="3.28515625" style="251" hidden="1" customWidth="1"/>
    <col min="90" max="90" width="7.42578125" style="252" bestFit="1" customWidth="1"/>
    <col min="91" max="91" width="6.5703125" style="252" bestFit="1" customWidth="1"/>
    <col min="92" max="92" width="7.7109375" style="253" bestFit="1" customWidth="1"/>
    <col min="93" max="93" width="6.5703125" style="252" bestFit="1" customWidth="1"/>
    <col min="94" max="94" width="5.7109375" style="252" customWidth="1"/>
    <col min="95" max="95" width="7.85546875" style="252" bestFit="1" customWidth="1"/>
    <col min="96" max="99" width="3.28515625" style="249" bestFit="1" customWidth="1"/>
    <col min="100" max="100" width="5.42578125" style="255" customWidth="1"/>
    <col min="101" max="103" width="6.28515625" style="255" customWidth="1"/>
    <col min="104" max="16384" width="8.85546875" style="249"/>
  </cols>
  <sheetData>
    <row r="1" spans="1:103" s="262" customFormat="1" ht="42" thickBot="1" x14ac:dyDescent="0.25">
      <c r="B1" s="270"/>
      <c r="C1" s="267" t="s">
        <v>121</v>
      </c>
      <c r="D1" s="314" t="s">
        <v>121</v>
      </c>
      <c r="E1" s="268" t="s">
        <v>121</v>
      </c>
      <c r="F1" s="314" t="s">
        <v>121</v>
      </c>
      <c r="G1" s="268" t="s">
        <v>121</v>
      </c>
      <c r="H1" s="314" t="s">
        <v>121</v>
      </c>
      <c r="I1" s="268" t="s">
        <v>121</v>
      </c>
      <c r="J1" s="314" t="s">
        <v>121</v>
      </c>
      <c r="K1" s="268" t="s">
        <v>121</v>
      </c>
      <c r="L1" s="314" t="s">
        <v>121</v>
      </c>
      <c r="M1" s="268" t="s">
        <v>121</v>
      </c>
      <c r="N1" s="314" t="s">
        <v>121</v>
      </c>
      <c r="O1" s="267" t="s">
        <v>121</v>
      </c>
      <c r="P1" s="267" t="s">
        <v>121</v>
      </c>
      <c r="Q1" s="314" t="s">
        <v>121</v>
      </c>
      <c r="R1" s="268" t="s">
        <v>121</v>
      </c>
      <c r="S1" s="268" t="s">
        <v>121</v>
      </c>
      <c r="T1" s="268" t="s">
        <v>121</v>
      </c>
      <c r="U1" s="268" t="s">
        <v>121</v>
      </c>
      <c r="V1" s="268" t="s">
        <v>121</v>
      </c>
      <c r="W1" s="268" t="s">
        <v>121</v>
      </c>
      <c r="X1" s="268" t="s">
        <v>121</v>
      </c>
      <c r="Y1" s="268" t="s">
        <v>121</v>
      </c>
      <c r="Z1" s="268" t="s">
        <v>121</v>
      </c>
      <c r="AA1" s="268" t="s">
        <v>121</v>
      </c>
      <c r="AB1" s="268" t="s">
        <v>121</v>
      </c>
      <c r="AC1" s="268" t="s">
        <v>121</v>
      </c>
      <c r="AD1" s="268" t="s">
        <v>121</v>
      </c>
      <c r="AE1" s="268" t="s">
        <v>121</v>
      </c>
      <c r="AF1" s="268" t="s">
        <v>121</v>
      </c>
      <c r="AG1" s="268" t="s">
        <v>121</v>
      </c>
      <c r="AH1" s="268" t="s">
        <v>121</v>
      </c>
      <c r="AI1" s="268" t="s">
        <v>121</v>
      </c>
      <c r="AJ1" s="268" t="s">
        <v>121</v>
      </c>
      <c r="AK1" s="268" t="s">
        <v>121</v>
      </c>
      <c r="AL1" s="268" t="s">
        <v>121</v>
      </c>
      <c r="AM1" s="268" t="s">
        <v>121</v>
      </c>
      <c r="AN1" s="268" t="s">
        <v>121</v>
      </c>
      <c r="AO1" s="268" t="s">
        <v>121</v>
      </c>
      <c r="AP1" s="268" t="s">
        <v>121</v>
      </c>
      <c r="AQ1" s="268" t="s">
        <v>121</v>
      </c>
      <c r="AR1" s="268" t="s">
        <v>121</v>
      </c>
      <c r="AS1" s="268" t="s">
        <v>121</v>
      </c>
      <c r="AT1" s="268" t="s">
        <v>121</v>
      </c>
      <c r="AU1" s="268" t="s">
        <v>121</v>
      </c>
      <c r="AV1" s="268" t="s">
        <v>121</v>
      </c>
      <c r="AW1" s="268" t="s">
        <v>121</v>
      </c>
      <c r="AX1" s="268" t="s">
        <v>121</v>
      </c>
      <c r="AY1" s="268" t="s">
        <v>121</v>
      </c>
      <c r="AZ1" s="268" t="s">
        <v>121</v>
      </c>
      <c r="BA1" s="268" t="s">
        <v>121</v>
      </c>
      <c r="BB1" s="268" t="s">
        <v>121</v>
      </c>
      <c r="BC1" s="268" t="s">
        <v>121</v>
      </c>
      <c r="BD1" s="268" t="s">
        <v>121</v>
      </c>
      <c r="BE1" s="268" t="s">
        <v>121</v>
      </c>
      <c r="BF1" s="268" t="s">
        <v>121</v>
      </c>
      <c r="BG1" s="268" t="s">
        <v>121</v>
      </c>
      <c r="BH1" s="268" t="s">
        <v>121</v>
      </c>
      <c r="BI1" s="268" t="s">
        <v>121</v>
      </c>
      <c r="BJ1" s="268" t="s">
        <v>121</v>
      </c>
      <c r="BK1" s="268" t="s">
        <v>121</v>
      </c>
      <c r="BL1" s="268" t="s">
        <v>121</v>
      </c>
      <c r="BM1" s="268" t="s">
        <v>121</v>
      </c>
      <c r="BN1" s="330" t="s">
        <v>121</v>
      </c>
      <c r="BO1" s="317" t="s">
        <v>121</v>
      </c>
      <c r="BP1" s="330" t="s">
        <v>121</v>
      </c>
      <c r="BQ1" s="317" t="s">
        <v>121</v>
      </c>
      <c r="BR1" s="268" t="s">
        <v>121</v>
      </c>
      <c r="BS1" s="314" t="s">
        <v>121</v>
      </c>
      <c r="BT1" s="268" t="s">
        <v>121</v>
      </c>
      <c r="BU1" s="314" t="s">
        <v>121</v>
      </c>
      <c r="BV1" s="268" t="s">
        <v>121</v>
      </c>
      <c r="BW1" s="314" t="s">
        <v>121</v>
      </c>
      <c r="BX1" s="268" t="s">
        <v>121</v>
      </c>
      <c r="BY1" s="314" t="s">
        <v>121</v>
      </c>
      <c r="BZ1" s="317" t="s">
        <v>121</v>
      </c>
      <c r="CA1" s="317" t="s">
        <v>121</v>
      </c>
      <c r="CB1" s="330" t="s">
        <v>121</v>
      </c>
      <c r="CC1" s="317" t="s">
        <v>121</v>
      </c>
      <c r="CD1" s="268" t="s">
        <v>121</v>
      </c>
      <c r="CE1" s="314" t="s">
        <v>121</v>
      </c>
      <c r="CF1" s="268" t="s">
        <v>121</v>
      </c>
      <c r="CG1" s="314" t="s">
        <v>121</v>
      </c>
      <c r="CH1" s="268" t="s">
        <v>121</v>
      </c>
      <c r="CI1" s="314" t="s">
        <v>121</v>
      </c>
      <c r="CJ1" s="268" t="s">
        <v>121</v>
      </c>
      <c r="CK1" s="314" t="s">
        <v>121</v>
      </c>
      <c r="CL1" s="319" t="s">
        <v>121</v>
      </c>
      <c r="CM1" s="319" t="s">
        <v>121</v>
      </c>
      <c r="CN1" s="314" t="s">
        <v>121</v>
      </c>
      <c r="CO1" s="313" t="s">
        <v>159</v>
      </c>
      <c r="CP1" s="313" t="s">
        <v>159</v>
      </c>
      <c r="CQ1" s="272" t="s">
        <v>132</v>
      </c>
      <c r="CR1" s="267" t="s">
        <v>136</v>
      </c>
      <c r="CS1" s="267" t="s">
        <v>136</v>
      </c>
      <c r="CT1" s="267" t="s">
        <v>136</v>
      </c>
      <c r="CU1" s="267" t="s">
        <v>136</v>
      </c>
      <c r="CV1" s="267" t="s">
        <v>136</v>
      </c>
      <c r="CW1" s="267" t="s">
        <v>136</v>
      </c>
      <c r="CX1" s="267" t="s">
        <v>136</v>
      </c>
      <c r="CY1" s="314" t="s">
        <v>136</v>
      </c>
    </row>
    <row r="2" spans="1:103" s="262" customFormat="1" ht="115.5" thickBot="1" x14ac:dyDescent="0.25">
      <c r="B2" s="271"/>
      <c r="C2" s="303" t="s">
        <v>122</v>
      </c>
      <c r="D2" s="303" t="s">
        <v>122</v>
      </c>
      <c r="E2" s="303" t="s">
        <v>122</v>
      </c>
      <c r="F2" s="303" t="s">
        <v>122</v>
      </c>
      <c r="G2" s="303" t="s">
        <v>122</v>
      </c>
      <c r="H2" s="303" t="s">
        <v>122</v>
      </c>
      <c r="I2" s="303" t="s">
        <v>122</v>
      </c>
      <c r="J2" s="303" t="s">
        <v>122</v>
      </c>
      <c r="K2" s="303" t="s">
        <v>122</v>
      </c>
      <c r="L2" s="303" t="s">
        <v>122</v>
      </c>
      <c r="M2" s="303" t="s">
        <v>122</v>
      </c>
      <c r="N2" s="303" t="s">
        <v>122</v>
      </c>
      <c r="O2" s="303" t="s">
        <v>156</v>
      </c>
      <c r="P2" s="303" t="s">
        <v>152</v>
      </c>
      <c r="Q2" s="318" t="s">
        <v>114</v>
      </c>
      <c r="R2" s="263" t="s">
        <v>126</v>
      </c>
      <c r="S2" s="263" t="s">
        <v>126</v>
      </c>
      <c r="T2" s="263" t="s">
        <v>126</v>
      </c>
      <c r="U2" s="263" t="s">
        <v>126</v>
      </c>
      <c r="V2" s="263" t="s">
        <v>126</v>
      </c>
      <c r="W2" s="263" t="s">
        <v>126</v>
      </c>
      <c r="X2" s="263" t="s">
        <v>126</v>
      </c>
      <c r="Y2" s="263" t="s">
        <v>126</v>
      </c>
      <c r="Z2" s="263" t="s">
        <v>126</v>
      </c>
      <c r="AA2" s="263" t="s">
        <v>126</v>
      </c>
      <c r="AB2" s="263" t="s">
        <v>126</v>
      </c>
      <c r="AC2" s="263" t="s">
        <v>126</v>
      </c>
      <c r="AD2" s="263" t="s">
        <v>127</v>
      </c>
      <c r="AE2" s="263" t="s">
        <v>127</v>
      </c>
      <c r="AF2" s="263" t="s">
        <v>127</v>
      </c>
      <c r="AG2" s="263" t="s">
        <v>127</v>
      </c>
      <c r="AH2" s="263" t="s">
        <v>127</v>
      </c>
      <c r="AI2" s="263" t="s">
        <v>127</v>
      </c>
      <c r="AJ2" s="263" t="s">
        <v>127</v>
      </c>
      <c r="AK2" s="263" t="s">
        <v>127</v>
      </c>
      <c r="AL2" s="263" t="s">
        <v>127</v>
      </c>
      <c r="AM2" s="263" t="s">
        <v>127</v>
      </c>
      <c r="AN2" s="263" t="s">
        <v>127</v>
      </c>
      <c r="AO2" s="263" t="s">
        <v>127</v>
      </c>
      <c r="AP2" s="263" t="s">
        <v>128</v>
      </c>
      <c r="AQ2" s="263" t="s">
        <v>128</v>
      </c>
      <c r="AR2" s="263" t="s">
        <v>128</v>
      </c>
      <c r="AS2" s="263" t="s">
        <v>128</v>
      </c>
      <c r="AT2" s="263" t="s">
        <v>128</v>
      </c>
      <c r="AU2" s="263" t="s">
        <v>128</v>
      </c>
      <c r="AV2" s="263" t="s">
        <v>128</v>
      </c>
      <c r="AW2" s="263" t="s">
        <v>128</v>
      </c>
      <c r="AX2" s="263" t="s">
        <v>128</v>
      </c>
      <c r="AY2" s="263" t="s">
        <v>128</v>
      </c>
      <c r="AZ2" s="263" t="s">
        <v>128</v>
      </c>
      <c r="BA2" s="263" t="s">
        <v>128</v>
      </c>
      <c r="BB2" s="263" t="s">
        <v>125</v>
      </c>
      <c r="BC2" s="263" t="s">
        <v>125</v>
      </c>
      <c r="BD2" s="263" t="s">
        <v>125</v>
      </c>
      <c r="BE2" s="263" t="s">
        <v>125</v>
      </c>
      <c r="BF2" s="263" t="s">
        <v>125</v>
      </c>
      <c r="BG2" s="263" t="s">
        <v>125</v>
      </c>
      <c r="BH2" s="263" t="s">
        <v>125</v>
      </c>
      <c r="BI2" s="263" t="s">
        <v>125</v>
      </c>
      <c r="BJ2" s="263" t="s">
        <v>125</v>
      </c>
      <c r="BK2" s="263" t="s">
        <v>125</v>
      </c>
      <c r="BL2" s="263" t="s">
        <v>125</v>
      </c>
      <c r="BM2" s="263" t="s">
        <v>125</v>
      </c>
      <c r="BN2" s="331" t="s">
        <v>135</v>
      </c>
      <c r="BO2" s="331" t="s">
        <v>135</v>
      </c>
      <c r="BP2" s="331" t="s">
        <v>135</v>
      </c>
      <c r="BQ2" s="331" t="s">
        <v>135</v>
      </c>
      <c r="BR2" s="304" t="s">
        <v>135</v>
      </c>
      <c r="BS2" s="304" t="s">
        <v>135</v>
      </c>
      <c r="BT2" s="304" t="s">
        <v>135</v>
      </c>
      <c r="BU2" s="304" t="s">
        <v>135</v>
      </c>
      <c r="BV2" s="304" t="s">
        <v>135</v>
      </c>
      <c r="BW2" s="304" t="s">
        <v>135</v>
      </c>
      <c r="BX2" s="304" t="s">
        <v>135</v>
      </c>
      <c r="BY2" s="304" t="s">
        <v>135</v>
      </c>
      <c r="BZ2" s="331" t="s">
        <v>129</v>
      </c>
      <c r="CA2" s="331" t="s">
        <v>129</v>
      </c>
      <c r="CB2" s="331" t="s">
        <v>129</v>
      </c>
      <c r="CC2" s="331" t="s">
        <v>129</v>
      </c>
      <c r="CD2" s="304" t="s">
        <v>129</v>
      </c>
      <c r="CE2" s="304" t="s">
        <v>129</v>
      </c>
      <c r="CF2" s="304" t="s">
        <v>129</v>
      </c>
      <c r="CG2" s="304" t="s">
        <v>129</v>
      </c>
      <c r="CH2" s="304" t="s">
        <v>129</v>
      </c>
      <c r="CI2" s="304" t="s">
        <v>129</v>
      </c>
      <c r="CJ2" s="304" t="s">
        <v>129</v>
      </c>
      <c r="CK2" s="304" t="s">
        <v>129</v>
      </c>
      <c r="CL2" s="315" t="s">
        <v>155</v>
      </c>
      <c r="CM2" s="315" t="s">
        <v>155</v>
      </c>
      <c r="CN2" s="296" t="s">
        <v>123</v>
      </c>
      <c r="CO2" s="305" t="s">
        <v>188</v>
      </c>
      <c r="CP2" s="305" t="s">
        <v>189</v>
      </c>
      <c r="CQ2" s="394" t="s">
        <v>194</v>
      </c>
      <c r="CR2" s="311" t="s">
        <v>133</v>
      </c>
      <c r="CS2" s="311" t="s">
        <v>133</v>
      </c>
      <c r="CT2" s="311" t="s">
        <v>133</v>
      </c>
      <c r="CU2" s="311" t="s">
        <v>133</v>
      </c>
      <c r="CV2" s="312" t="s">
        <v>135</v>
      </c>
      <c r="CW2" s="312" t="s">
        <v>135</v>
      </c>
      <c r="CX2" s="312" t="s">
        <v>135</v>
      </c>
      <c r="CY2" s="359" t="s">
        <v>135</v>
      </c>
    </row>
    <row r="3" spans="1:103" s="268" customFormat="1" ht="52.5" thickBot="1" x14ac:dyDescent="0.25">
      <c r="B3" s="306"/>
      <c r="C3" s="264" t="s">
        <v>157</v>
      </c>
      <c r="D3" s="264" t="s">
        <v>157</v>
      </c>
      <c r="E3" s="264" t="s">
        <v>157</v>
      </c>
      <c r="F3" s="264" t="s">
        <v>157</v>
      </c>
      <c r="G3" s="264" t="s">
        <v>158</v>
      </c>
      <c r="H3" s="264" t="s">
        <v>158</v>
      </c>
      <c r="I3" s="264" t="s">
        <v>158</v>
      </c>
      <c r="J3" s="264" t="s">
        <v>158</v>
      </c>
      <c r="K3" s="264" t="s">
        <v>158</v>
      </c>
      <c r="L3" s="264" t="s">
        <v>158</v>
      </c>
      <c r="M3" s="264" t="s">
        <v>158</v>
      </c>
      <c r="N3" s="264" t="s">
        <v>158</v>
      </c>
      <c r="O3" s="264" t="s">
        <v>153</v>
      </c>
      <c r="P3" s="264" t="s">
        <v>153</v>
      </c>
      <c r="Q3" s="316" t="s">
        <v>153</v>
      </c>
      <c r="R3" s="269" t="s">
        <v>157</v>
      </c>
      <c r="S3" s="269" t="s">
        <v>157</v>
      </c>
      <c r="T3" s="269" t="s">
        <v>157</v>
      </c>
      <c r="U3" s="269" t="s">
        <v>157</v>
      </c>
      <c r="V3" s="269" t="s">
        <v>158</v>
      </c>
      <c r="W3" s="269" t="s">
        <v>158</v>
      </c>
      <c r="X3" s="269" t="s">
        <v>158</v>
      </c>
      <c r="Y3" s="269" t="s">
        <v>158</v>
      </c>
      <c r="Z3" s="269" t="s">
        <v>158</v>
      </c>
      <c r="AA3" s="269" t="s">
        <v>158</v>
      </c>
      <c r="AB3" s="269" t="s">
        <v>158</v>
      </c>
      <c r="AC3" s="269" t="s">
        <v>158</v>
      </c>
      <c r="AD3" s="269" t="s">
        <v>157</v>
      </c>
      <c r="AE3" s="269" t="s">
        <v>157</v>
      </c>
      <c r="AF3" s="269" t="s">
        <v>157</v>
      </c>
      <c r="AG3" s="269" t="s">
        <v>157</v>
      </c>
      <c r="AH3" s="269" t="s">
        <v>158</v>
      </c>
      <c r="AI3" s="269" t="s">
        <v>158</v>
      </c>
      <c r="AJ3" s="269" t="s">
        <v>158</v>
      </c>
      <c r="AK3" s="269" t="s">
        <v>158</v>
      </c>
      <c r="AL3" s="269" t="s">
        <v>158</v>
      </c>
      <c r="AM3" s="269" t="s">
        <v>158</v>
      </c>
      <c r="AN3" s="269" t="s">
        <v>158</v>
      </c>
      <c r="AO3" s="269" t="s">
        <v>158</v>
      </c>
      <c r="AP3" s="269" t="s">
        <v>157</v>
      </c>
      <c r="AQ3" s="269" t="s">
        <v>157</v>
      </c>
      <c r="AR3" s="269" t="s">
        <v>157</v>
      </c>
      <c r="AS3" s="269" t="s">
        <v>157</v>
      </c>
      <c r="AT3" s="269" t="s">
        <v>158</v>
      </c>
      <c r="AU3" s="269" t="s">
        <v>158</v>
      </c>
      <c r="AV3" s="269" t="s">
        <v>158</v>
      </c>
      <c r="AW3" s="269" t="s">
        <v>158</v>
      </c>
      <c r="AX3" s="269" t="s">
        <v>158</v>
      </c>
      <c r="AY3" s="269" t="s">
        <v>158</v>
      </c>
      <c r="AZ3" s="269" t="s">
        <v>158</v>
      </c>
      <c r="BA3" s="269" t="s">
        <v>158</v>
      </c>
      <c r="BB3" s="269" t="s">
        <v>157</v>
      </c>
      <c r="BC3" s="269" t="s">
        <v>157</v>
      </c>
      <c r="BD3" s="269" t="s">
        <v>157</v>
      </c>
      <c r="BE3" s="269" t="s">
        <v>157</v>
      </c>
      <c r="BF3" s="269" t="s">
        <v>158</v>
      </c>
      <c r="BG3" s="269" t="s">
        <v>158</v>
      </c>
      <c r="BH3" s="269" t="s">
        <v>158</v>
      </c>
      <c r="BI3" s="269" t="s">
        <v>158</v>
      </c>
      <c r="BJ3" s="269" t="s">
        <v>158</v>
      </c>
      <c r="BK3" s="269" t="s">
        <v>158</v>
      </c>
      <c r="BL3" s="269" t="s">
        <v>158</v>
      </c>
      <c r="BM3" s="269" t="s">
        <v>158</v>
      </c>
      <c r="BN3" s="269" t="s">
        <v>157</v>
      </c>
      <c r="BO3" s="269" t="s">
        <v>157</v>
      </c>
      <c r="BP3" s="269" t="s">
        <v>157</v>
      </c>
      <c r="BQ3" s="269" t="s">
        <v>157</v>
      </c>
      <c r="BR3" s="269" t="s">
        <v>158</v>
      </c>
      <c r="BS3" s="269" t="s">
        <v>158</v>
      </c>
      <c r="BT3" s="269" t="s">
        <v>158</v>
      </c>
      <c r="BU3" s="269" t="s">
        <v>158</v>
      </c>
      <c r="BV3" s="269" t="s">
        <v>158</v>
      </c>
      <c r="BW3" s="269" t="s">
        <v>158</v>
      </c>
      <c r="BX3" s="269" t="s">
        <v>158</v>
      </c>
      <c r="BY3" s="269" t="s">
        <v>158</v>
      </c>
      <c r="BZ3" s="269" t="s">
        <v>157</v>
      </c>
      <c r="CA3" s="269" t="s">
        <v>157</v>
      </c>
      <c r="CB3" s="269" t="s">
        <v>157</v>
      </c>
      <c r="CC3" s="269" t="s">
        <v>157</v>
      </c>
      <c r="CD3" s="269" t="s">
        <v>158</v>
      </c>
      <c r="CE3" s="269" t="s">
        <v>158</v>
      </c>
      <c r="CF3" s="269" t="s">
        <v>158</v>
      </c>
      <c r="CG3" s="269" t="s">
        <v>158</v>
      </c>
      <c r="CH3" s="269" t="s">
        <v>158</v>
      </c>
      <c r="CI3" s="269" t="s">
        <v>158</v>
      </c>
      <c r="CJ3" s="269" t="s">
        <v>158</v>
      </c>
      <c r="CK3" s="269" t="s">
        <v>158</v>
      </c>
      <c r="CL3" s="272" t="s">
        <v>168</v>
      </c>
      <c r="CM3" s="272" t="s">
        <v>169</v>
      </c>
      <c r="CN3" s="307"/>
      <c r="CO3" s="272"/>
      <c r="CP3" s="272"/>
      <c r="CQ3" s="319"/>
      <c r="CR3" s="267"/>
      <c r="CS3" s="314"/>
      <c r="CU3" s="314"/>
      <c r="CV3" s="308"/>
      <c r="CW3" s="308"/>
      <c r="CX3" s="308"/>
      <c r="CY3" s="309"/>
    </row>
    <row r="4" spans="1:103" s="262" customFormat="1" ht="62.25" thickBot="1" x14ac:dyDescent="0.25">
      <c r="A4" s="267" t="s">
        <v>170</v>
      </c>
      <c r="B4" s="306" t="s">
        <v>117</v>
      </c>
      <c r="C4" s="267" t="s">
        <v>52</v>
      </c>
      <c r="D4" s="268" t="s">
        <v>118</v>
      </c>
      <c r="E4" s="268" t="s">
        <v>119</v>
      </c>
      <c r="F4" s="382" t="s">
        <v>120</v>
      </c>
      <c r="G4" s="267" t="s">
        <v>52</v>
      </c>
      <c r="H4" s="268" t="s">
        <v>118</v>
      </c>
      <c r="I4" s="268" t="s">
        <v>119</v>
      </c>
      <c r="J4" s="382" t="s">
        <v>120</v>
      </c>
      <c r="K4" s="267" t="s">
        <v>52</v>
      </c>
      <c r="L4" s="268" t="s">
        <v>118</v>
      </c>
      <c r="M4" s="268" t="s">
        <v>119</v>
      </c>
      <c r="N4" s="382" t="s">
        <v>120</v>
      </c>
      <c r="O4" s="268"/>
      <c r="P4" s="268"/>
      <c r="Q4" s="317"/>
      <c r="R4" s="269" t="s">
        <v>52</v>
      </c>
      <c r="S4" s="383" t="s">
        <v>124</v>
      </c>
      <c r="T4" s="383" t="s">
        <v>119</v>
      </c>
      <c r="U4" s="384" t="s">
        <v>120</v>
      </c>
      <c r="V4" s="269" t="s">
        <v>52</v>
      </c>
      <c r="W4" s="383" t="s">
        <v>124</v>
      </c>
      <c r="X4" s="383" t="s">
        <v>119</v>
      </c>
      <c r="Y4" s="384" t="s">
        <v>120</v>
      </c>
      <c r="Z4" s="269" t="s">
        <v>52</v>
      </c>
      <c r="AA4" s="383" t="s">
        <v>124</v>
      </c>
      <c r="AB4" s="383" t="s">
        <v>119</v>
      </c>
      <c r="AC4" s="384" t="s">
        <v>120</v>
      </c>
      <c r="AD4" s="269" t="s">
        <v>52</v>
      </c>
      <c r="AE4" s="383" t="s">
        <v>124</v>
      </c>
      <c r="AF4" s="383" t="s">
        <v>119</v>
      </c>
      <c r="AG4" s="384" t="s">
        <v>120</v>
      </c>
      <c r="AH4" s="269" t="s">
        <v>52</v>
      </c>
      <c r="AI4" s="383" t="s">
        <v>124</v>
      </c>
      <c r="AJ4" s="383" t="s">
        <v>119</v>
      </c>
      <c r="AK4" s="384" t="s">
        <v>120</v>
      </c>
      <c r="AL4" s="269" t="s">
        <v>52</v>
      </c>
      <c r="AM4" s="383" t="s">
        <v>124</v>
      </c>
      <c r="AN4" s="383" t="s">
        <v>119</v>
      </c>
      <c r="AO4" s="384" t="s">
        <v>120</v>
      </c>
      <c r="AP4" s="269" t="s">
        <v>52</v>
      </c>
      <c r="AQ4" s="383" t="s">
        <v>124</v>
      </c>
      <c r="AR4" s="383" t="s">
        <v>119</v>
      </c>
      <c r="AS4" s="384" t="s">
        <v>120</v>
      </c>
      <c r="AT4" s="269" t="s">
        <v>52</v>
      </c>
      <c r="AU4" s="383" t="s">
        <v>124</v>
      </c>
      <c r="AV4" s="383" t="s">
        <v>119</v>
      </c>
      <c r="AW4" s="384" t="s">
        <v>120</v>
      </c>
      <c r="AX4" s="269" t="s">
        <v>52</v>
      </c>
      <c r="AY4" s="383" t="s">
        <v>124</v>
      </c>
      <c r="AZ4" s="383" t="s">
        <v>119</v>
      </c>
      <c r="BA4" s="384" t="s">
        <v>120</v>
      </c>
      <c r="BB4" s="269" t="s">
        <v>52</v>
      </c>
      <c r="BC4" s="383" t="s">
        <v>124</v>
      </c>
      <c r="BD4" s="383" t="s">
        <v>119</v>
      </c>
      <c r="BE4" s="384" t="s">
        <v>120</v>
      </c>
      <c r="BF4" s="269" t="s">
        <v>52</v>
      </c>
      <c r="BG4" s="383" t="s">
        <v>124</v>
      </c>
      <c r="BH4" s="383" t="s">
        <v>119</v>
      </c>
      <c r="BI4" s="384" t="s">
        <v>120</v>
      </c>
      <c r="BJ4" s="269" t="s">
        <v>52</v>
      </c>
      <c r="BK4" s="383" t="s">
        <v>124</v>
      </c>
      <c r="BL4" s="383" t="s">
        <v>119</v>
      </c>
      <c r="BM4" s="384" t="s">
        <v>120</v>
      </c>
      <c r="BN4" s="316" t="s">
        <v>52</v>
      </c>
      <c r="BO4" s="330" t="s">
        <v>118</v>
      </c>
      <c r="BP4" s="330" t="s">
        <v>119</v>
      </c>
      <c r="BQ4" s="385" t="s">
        <v>120</v>
      </c>
      <c r="BR4" s="264" t="s">
        <v>52</v>
      </c>
      <c r="BS4" s="265" t="s">
        <v>118</v>
      </c>
      <c r="BT4" s="265" t="s">
        <v>119</v>
      </c>
      <c r="BU4" s="266" t="s">
        <v>120</v>
      </c>
      <c r="BV4" s="264" t="s">
        <v>52</v>
      </c>
      <c r="BW4" s="265" t="s">
        <v>118</v>
      </c>
      <c r="BX4" s="265" t="s">
        <v>119</v>
      </c>
      <c r="BY4" s="266" t="s">
        <v>120</v>
      </c>
      <c r="BZ4" s="330" t="s">
        <v>52</v>
      </c>
      <c r="CA4" s="330" t="s">
        <v>118</v>
      </c>
      <c r="CB4" s="330" t="s">
        <v>119</v>
      </c>
      <c r="CC4" s="385" t="s">
        <v>120</v>
      </c>
      <c r="CD4" s="264" t="s">
        <v>52</v>
      </c>
      <c r="CE4" s="265" t="s">
        <v>118</v>
      </c>
      <c r="CF4" s="265" t="s">
        <v>119</v>
      </c>
      <c r="CG4" s="266" t="s">
        <v>120</v>
      </c>
      <c r="CH4" s="264" t="s">
        <v>52</v>
      </c>
      <c r="CI4" s="265" t="s">
        <v>118</v>
      </c>
      <c r="CJ4" s="265" t="s">
        <v>119</v>
      </c>
      <c r="CK4" s="266" t="s">
        <v>120</v>
      </c>
      <c r="CL4" s="313" t="s">
        <v>154</v>
      </c>
      <c r="CM4" s="313" t="s">
        <v>154</v>
      </c>
      <c r="CN4" s="307"/>
      <c r="CO4" s="272" t="s">
        <v>138</v>
      </c>
      <c r="CP4" s="381" t="s">
        <v>138</v>
      </c>
      <c r="CQ4" s="319" t="s">
        <v>153</v>
      </c>
      <c r="CR4" s="267" t="s">
        <v>52</v>
      </c>
      <c r="CS4" s="268" t="s">
        <v>118</v>
      </c>
      <c r="CT4" s="268" t="s">
        <v>134</v>
      </c>
      <c r="CU4" s="268" t="s">
        <v>120</v>
      </c>
      <c r="CV4" s="308" t="s">
        <v>52</v>
      </c>
      <c r="CW4" s="308" t="s">
        <v>118</v>
      </c>
      <c r="CX4" s="308" t="s">
        <v>134</v>
      </c>
      <c r="CY4" s="309" t="s">
        <v>120</v>
      </c>
    </row>
    <row r="5" spans="1:103" s="320" customFormat="1" ht="12" customHeight="1" x14ac:dyDescent="0.2">
      <c r="A5" s="320" t="s">
        <v>171</v>
      </c>
      <c r="B5" s="321">
        <v>42370</v>
      </c>
      <c r="C5" s="320">
        <v>65</v>
      </c>
      <c r="D5" s="320">
        <v>26</v>
      </c>
      <c r="E5" s="320">
        <v>11</v>
      </c>
      <c r="F5" s="320">
        <v>14</v>
      </c>
      <c r="G5" s="325"/>
      <c r="H5" s="325"/>
      <c r="I5" s="325"/>
      <c r="J5" s="325"/>
      <c r="K5" s="325"/>
      <c r="L5" s="325"/>
      <c r="M5" s="325"/>
      <c r="N5" s="325"/>
      <c r="O5" s="320">
        <f>SUM(C5:N5)</f>
        <v>116</v>
      </c>
      <c r="P5" s="254">
        <v>197</v>
      </c>
      <c r="Q5" s="322">
        <f>SUM(CN5:CN5)/SUM(C5:N5)</f>
        <v>-43.690122126436783</v>
      </c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  <c r="AX5" s="325"/>
      <c r="AY5" s="325"/>
      <c r="AZ5" s="325"/>
      <c r="BA5" s="325"/>
      <c r="BB5" s="325"/>
      <c r="BC5" s="325"/>
      <c r="BD5" s="325"/>
      <c r="BE5" s="325"/>
      <c r="BF5" s="325"/>
      <c r="BG5" s="325"/>
      <c r="BH5" s="325"/>
      <c r="BI5" s="325"/>
      <c r="BJ5" s="325"/>
      <c r="BK5" s="325"/>
      <c r="BL5" s="325"/>
      <c r="BM5" s="325"/>
      <c r="BN5" s="336">
        <v>508.61</v>
      </c>
      <c r="BO5" s="336">
        <v>957.15</v>
      </c>
      <c r="BP5" s="336">
        <v>1137.1099999999999</v>
      </c>
      <c r="BQ5" s="336">
        <v>1360.71</v>
      </c>
      <c r="BR5" s="325"/>
      <c r="BS5" s="325"/>
      <c r="BT5" s="325"/>
      <c r="BU5" s="325"/>
      <c r="BV5" s="325"/>
      <c r="BW5" s="325"/>
      <c r="BX5" s="325"/>
      <c r="BY5" s="325"/>
      <c r="BZ5" s="329">
        <v>-216.67</v>
      </c>
      <c r="CA5" s="322">
        <v>-433.33</v>
      </c>
      <c r="CB5" s="322">
        <v>-411.67</v>
      </c>
      <c r="CC5" s="322">
        <v>-507</v>
      </c>
      <c r="CD5" s="325"/>
      <c r="CE5" s="325"/>
      <c r="CF5" s="325"/>
      <c r="CG5" s="325"/>
      <c r="CH5" s="325"/>
      <c r="CI5" s="325"/>
      <c r="CJ5" s="325"/>
      <c r="CK5" s="325"/>
      <c r="CL5" s="323">
        <v>173365.27</v>
      </c>
      <c r="CM5" s="325"/>
      <c r="CN5" s="322">
        <f>-60816.65/12</f>
        <v>-5068.0541666666668</v>
      </c>
      <c r="CO5" s="323"/>
      <c r="CP5" s="323"/>
      <c r="CQ5" s="395"/>
      <c r="CR5" s="351"/>
      <c r="CS5" s="351"/>
      <c r="CT5" s="351"/>
      <c r="CU5" s="351"/>
      <c r="CV5" s="352"/>
      <c r="CW5" s="352"/>
      <c r="CX5" s="352"/>
      <c r="CY5" s="352"/>
    </row>
    <row r="6" spans="1:103" s="320" customFormat="1" ht="12" customHeight="1" x14ac:dyDescent="0.2">
      <c r="A6" s="320" t="s">
        <v>172</v>
      </c>
      <c r="B6" s="321">
        <f>31+B5</f>
        <v>42401</v>
      </c>
      <c r="C6" s="320">
        <v>63</v>
      </c>
      <c r="D6" s="320">
        <v>26</v>
      </c>
      <c r="E6" s="320">
        <v>11</v>
      </c>
      <c r="F6" s="320">
        <v>13</v>
      </c>
      <c r="G6" s="325"/>
      <c r="H6" s="325"/>
      <c r="I6" s="325"/>
      <c r="J6" s="325"/>
      <c r="K6" s="325"/>
      <c r="L6" s="325"/>
      <c r="M6" s="325"/>
      <c r="N6" s="325"/>
      <c r="O6" s="320">
        <f t="shared" ref="O6:O69" si="0">SUM(C6:N6)</f>
        <v>113</v>
      </c>
      <c r="P6" s="254">
        <v>198</v>
      </c>
      <c r="Q6" s="322">
        <f>SUM(CN6:CN6)/SUM(C6:N6)</f>
        <v>-44.850036873156341</v>
      </c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25"/>
      <c r="AN6" s="325"/>
      <c r="AO6" s="325"/>
      <c r="AP6" s="325"/>
      <c r="AQ6" s="325"/>
      <c r="AR6" s="325"/>
      <c r="AS6" s="325"/>
      <c r="AT6" s="325"/>
      <c r="AU6" s="325"/>
      <c r="AV6" s="325"/>
      <c r="AW6" s="325"/>
      <c r="AX6" s="325"/>
      <c r="AY6" s="325"/>
      <c r="AZ6" s="325"/>
      <c r="BA6" s="325"/>
      <c r="BB6" s="325"/>
      <c r="BC6" s="325"/>
      <c r="BD6" s="325"/>
      <c r="BE6" s="325"/>
      <c r="BF6" s="325"/>
      <c r="BG6" s="325"/>
      <c r="BH6" s="325"/>
      <c r="BI6" s="325"/>
      <c r="BJ6" s="325"/>
      <c r="BK6" s="325"/>
      <c r="BL6" s="325"/>
      <c r="BM6" s="325"/>
      <c r="BN6" s="322">
        <v>508.61</v>
      </c>
      <c r="BO6" s="322">
        <v>957.15</v>
      </c>
      <c r="BP6" s="322">
        <v>1137.1099999999999</v>
      </c>
      <c r="BQ6" s="322">
        <v>1360.71</v>
      </c>
      <c r="BR6" s="325"/>
      <c r="BS6" s="325"/>
      <c r="BT6" s="325"/>
      <c r="BU6" s="325"/>
      <c r="BV6" s="325"/>
      <c r="BW6" s="325"/>
      <c r="BX6" s="325"/>
      <c r="BY6" s="325"/>
      <c r="BZ6" s="329">
        <v>-216.67</v>
      </c>
      <c r="CA6" s="322">
        <v>-433.33</v>
      </c>
      <c r="CB6" s="322">
        <v>-411.67</v>
      </c>
      <c r="CC6" s="322">
        <v>-507</v>
      </c>
      <c r="CD6" s="325"/>
      <c r="CE6" s="325"/>
      <c r="CF6" s="325"/>
      <c r="CG6" s="325"/>
      <c r="CH6" s="325"/>
      <c r="CI6" s="325"/>
      <c r="CJ6" s="325"/>
      <c r="CK6" s="325"/>
      <c r="CL6" s="323">
        <v>53015.63</v>
      </c>
      <c r="CM6" s="325"/>
      <c r="CN6" s="322">
        <f>CN5</f>
        <v>-5068.0541666666668</v>
      </c>
      <c r="CO6" s="323"/>
      <c r="CP6" s="323"/>
      <c r="CQ6" s="395"/>
      <c r="CR6" s="351"/>
      <c r="CS6" s="351"/>
      <c r="CT6" s="351"/>
      <c r="CU6" s="351"/>
      <c r="CV6" s="352"/>
      <c r="CW6" s="352"/>
      <c r="CX6" s="352"/>
      <c r="CY6" s="352"/>
    </row>
    <row r="7" spans="1:103" s="320" customFormat="1" ht="12" customHeight="1" x14ac:dyDescent="0.2">
      <c r="B7" s="321">
        <f t="shared" ref="B7:B70" si="1">31+B6</f>
        <v>42432</v>
      </c>
      <c r="C7" s="320">
        <v>63</v>
      </c>
      <c r="D7" s="320">
        <v>27</v>
      </c>
      <c r="E7" s="320">
        <v>10</v>
      </c>
      <c r="F7" s="320">
        <v>13</v>
      </c>
      <c r="G7" s="325"/>
      <c r="H7" s="325"/>
      <c r="I7" s="325"/>
      <c r="J7" s="325"/>
      <c r="K7" s="325"/>
      <c r="L7" s="325"/>
      <c r="M7" s="325"/>
      <c r="N7" s="325"/>
      <c r="O7" s="320">
        <f t="shared" si="0"/>
        <v>113</v>
      </c>
      <c r="P7" s="254">
        <v>191</v>
      </c>
      <c r="Q7" s="322">
        <f t="shared" ref="Q7:Q38" si="2">SUM(CN7:CN7)/SUM(C5:N5)</f>
        <v>-43.690122126436783</v>
      </c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25"/>
      <c r="AN7" s="325"/>
      <c r="AO7" s="325"/>
      <c r="AP7" s="325"/>
      <c r="AQ7" s="325"/>
      <c r="AR7" s="325"/>
      <c r="AS7" s="325"/>
      <c r="AT7" s="325"/>
      <c r="AU7" s="325"/>
      <c r="AV7" s="325"/>
      <c r="AW7" s="325"/>
      <c r="AX7" s="325"/>
      <c r="AY7" s="325"/>
      <c r="AZ7" s="325"/>
      <c r="BA7" s="325"/>
      <c r="BB7" s="325"/>
      <c r="BC7" s="325"/>
      <c r="BD7" s="325"/>
      <c r="BE7" s="325"/>
      <c r="BF7" s="325"/>
      <c r="BG7" s="325"/>
      <c r="BH7" s="325"/>
      <c r="BI7" s="325"/>
      <c r="BJ7" s="325"/>
      <c r="BK7" s="325"/>
      <c r="BL7" s="325"/>
      <c r="BM7" s="325"/>
      <c r="BN7" s="322">
        <v>508.61</v>
      </c>
      <c r="BO7" s="322">
        <v>957.15</v>
      </c>
      <c r="BP7" s="322">
        <v>1137.1099999999999</v>
      </c>
      <c r="BQ7" s="322">
        <v>1360.71</v>
      </c>
      <c r="BR7" s="325"/>
      <c r="BS7" s="325"/>
      <c r="BT7" s="325"/>
      <c r="BU7" s="325"/>
      <c r="BV7" s="325"/>
      <c r="BW7" s="325"/>
      <c r="BX7" s="325"/>
      <c r="BY7" s="325"/>
      <c r="BZ7" s="329">
        <v>-216.67</v>
      </c>
      <c r="CA7" s="322">
        <v>-433.33</v>
      </c>
      <c r="CB7" s="322">
        <v>-411.67</v>
      </c>
      <c r="CC7" s="322">
        <v>-507</v>
      </c>
      <c r="CD7" s="325"/>
      <c r="CE7" s="325"/>
      <c r="CF7" s="325"/>
      <c r="CG7" s="325"/>
      <c r="CH7" s="325"/>
      <c r="CI7" s="325"/>
      <c r="CJ7" s="325"/>
      <c r="CK7" s="325"/>
      <c r="CL7" s="323">
        <v>76020.13</v>
      </c>
      <c r="CM7" s="325"/>
      <c r="CN7" s="322">
        <f t="shared" ref="CN7:CN16" si="3">CN6</f>
        <v>-5068.0541666666668</v>
      </c>
      <c r="CO7" s="323"/>
      <c r="CP7" s="323"/>
      <c r="CQ7" s="395"/>
      <c r="CR7" s="351"/>
      <c r="CS7" s="351"/>
      <c r="CT7" s="351"/>
      <c r="CU7" s="351"/>
      <c r="CV7" s="352"/>
      <c r="CW7" s="352"/>
      <c r="CX7" s="352"/>
      <c r="CY7" s="352"/>
    </row>
    <row r="8" spans="1:103" s="320" customFormat="1" ht="12" customHeight="1" x14ac:dyDescent="0.2">
      <c r="A8" s="320" t="s">
        <v>173</v>
      </c>
      <c r="B8" s="321">
        <f t="shared" si="1"/>
        <v>42463</v>
      </c>
      <c r="C8" s="320">
        <v>66</v>
      </c>
      <c r="D8" s="320">
        <v>26</v>
      </c>
      <c r="E8" s="320">
        <v>11</v>
      </c>
      <c r="F8" s="320">
        <v>13</v>
      </c>
      <c r="G8" s="325"/>
      <c r="H8" s="325"/>
      <c r="I8" s="325"/>
      <c r="J8" s="325"/>
      <c r="K8" s="325"/>
      <c r="L8" s="325"/>
      <c r="M8" s="325"/>
      <c r="N8" s="325"/>
      <c r="O8" s="320">
        <f t="shared" si="0"/>
        <v>116</v>
      </c>
      <c r="P8" s="254">
        <v>193</v>
      </c>
      <c r="Q8" s="322">
        <f t="shared" si="2"/>
        <v>-44.850036873156341</v>
      </c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325"/>
      <c r="AL8" s="325"/>
      <c r="AM8" s="325"/>
      <c r="AN8" s="325"/>
      <c r="AO8" s="325"/>
      <c r="AP8" s="325"/>
      <c r="AQ8" s="325"/>
      <c r="AR8" s="325"/>
      <c r="AS8" s="325"/>
      <c r="AT8" s="325"/>
      <c r="AU8" s="325"/>
      <c r="AV8" s="325"/>
      <c r="AW8" s="325"/>
      <c r="AX8" s="325"/>
      <c r="AY8" s="325"/>
      <c r="AZ8" s="325"/>
      <c r="BA8" s="325"/>
      <c r="BB8" s="325"/>
      <c r="BC8" s="325"/>
      <c r="BD8" s="325"/>
      <c r="BE8" s="325"/>
      <c r="BF8" s="325"/>
      <c r="BG8" s="325"/>
      <c r="BH8" s="325"/>
      <c r="BI8" s="325"/>
      <c r="BJ8" s="325"/>
      <c r="BK8" s="325"/>
      <c r="BL8" s="325"/>
      <c r="BM8" s="325"/>
      <c r="BN8" s="322">
        <v>508.61</v>
      </c>
      <c r="BO8" s="322">
        <v>957.15</v>
      </c>
      <c r="BP8" s="322">
        <v>1137.1099999999999</v>
      </c>
      <c r="BQ8" s="322">
        <v>1360.71</v>
      </c>
      <c r="BR8" s="325"/>
      <c r="BS8" s="325"/>
      <c r="BT8" s="325"/>
      <c r="BU8" s="325"/>
      <c r="BV8" s="325"/>
      <c r="BW8" s="325"/>
      <c r="BX8" s="325"/>
      <c r="BY8" s="325"/>
      <c r="BZ8" s="329">
        <v>-216.67</v>
      </c>
      <c r="CA8" s="322">
        <v>-433.33</v>
      </c>
      <c r="CB8" s="322">
        <v>-411.67</v>
      </c>
      <c r="CC8" s="322">
        <v>-507</v>
      </c>
      <c r="CD8" s="325"/>
      <c r="CE8" s="325"/>
      <c r="CF8" s="325"/>
      <c r="CG8" s="325"/>
      <c r="CH8" s="325"/>
      <c r="CI8" s="325"/>
      <c r="CJ8" s="325"/>
      <c r="CK8" s="325"/>
      <c r="CL8" s="323">
        <v>170290.71</v>
      </c>
      <c r="CM8" s="325"/>
      <c r="CN8" s="322">
        <f t="shared" si="3"/>
        <v>-5068.0541666666668</v>
      </c>
      <c r="CO8" s="323"/>
      <c r="CP8" s="323"/>
      <c r="CQ8" s="395"/>
      <c r="CR8" s="351"/>
      <c r="CS8" s="351"/>
      <c r="CT8" s="351"/>
      <c r="CU8" s="351"/>
      <c r="CV8" s="352"/>
      <c r="CW8" s="352"/>
      <c r="CX8" s="352"/>
      <c r="CY8" s="352"/>
    </row>
    <row r="9" spans="1:103" s="320" customFormat="1" ht="12" customHeight="1" x14ac:dyDescent="0.2">
      <c r="A9" s="320" t="s">
        <v>174</v>
      </c>
      <c r="B9" s="321">
        <f t="shared" si="1"/>
        <v>42494</v>
      </c>
      <c r="C9" s="320">
        <v>69</v>
      </c>
      <c r="D9" s="320">
        <v>26</v>
      </c>
      <c r="E9" s="320">
        <v>10</v>
      </c>
      <c r="F9" s="320">
        <v>12</v>
      </c>
      <c r="G9" s="325"/>
      <c r="H9" s="325"/>
      <c r="I9" s="325"/>
      <c r="J9" s="325"/>
      <c r="K9" s="325"/>
      <c r="L9" s="325"/>
      <c r="M9" s="325"/>
      <c r="N9" s="325"/>
      <c r="O9" s="320">
        <f t="shared" si="0"/>
        <v>117</v>
      </c>
      <c r="P9" s="254">
        <v>196</v>
      </c>
      <c r="Q9" s="322">
        <f t="shared" si="2"/>
        <v>-44.850036873156341</v>
      </c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325"/>
      <c r="AN9" s="325"/>
      <c r="AO9" s="325"/>
      <c r="AP9" s="325"/>
      <c r="AQ9" s="325"/>
      <c r="AR9" s="325"/>
      <c r="AS9" s="325"/>
      <c r="AT9" s="325"/>
      <c r="AU9" s="325"/>
      <c r="AV9" s="325"/>
      <c r="AW9" s="325"/>
      <c r="AX9" s="325"/>
      <c r="AY9" s="325"/>
      <c r="AZ9" s="325"/>
      <c r="BA9" s="325"/>
      <c r="BB9" s="325"/>
      <c r="BC9" s="325"/>
      <c r="BD9" s="325"/>
      <c r="BE9" s="325"/>
      <c r="BF9" s="325"/>
      <c r="BG9" s="325"/>
      <c r="BH9" s="325"/>
      <c r="BI9" s="325"/>
      <c r="BJ9" s="325"/>
      <c r="BK9" s="325"/>
      <c r="BL9" s="325"/>
      <c r="BM9" s="325"/>
      <c r="BN9" s="322">
        <v>508.61</v>
      </c>
      <c r="BO9" s="322">
        <v>957.15</v>
      </c>
      <c r="BP9" s="322">
        <v>1137.1099999999999</v>
      </c>
      <c r="BQ9" s="322">
        <v>1360.71</v>
      </c>
      <c r="BR9" s="325"/>
      <c r="BS9" s="325"/>
      <c r="BT9" s="325"/>
      <c r="BU9" s="325"/>
      <c r="BV9" s="325"/>
      <c r="BW9" s="325"/>
      <c r="BX9" s="325"/>
      <c r="BY9" s="325"/>
      <c r="BZ9" s="329">
        <v>-216.67</v>
      </c>
      <c r="CA9" s="322">
        <v>-433.33</v>
      </c>
      <c r="CB9" s="322">
        <v>-411.67</v>
      </c>
      <c r="CC9" s="322">
        <v>-507</v>
      </c>
      <c r="CD9" s="325"/>
      <c r="CE9" s="325"/>
      <c r="CF9" s="325"/>
      <c r="CG9" s="325"/>
      <c r="CH9" s="325"/>
      <c r="CI9" s="325"/>
      <c r="CJ9" s="325"/>
      <c r="CK9" s="325"/>
      <c r="CL9" s="323">
        <v>74329.100000000006</v>
      </c>
      <c r="CM9" s="325"/>
      <c r="CN9" s="322">
        <f t="shared" si="3"/>
        <v>-5068.0541666666668</v>
      </c>
      <c r="CO9" s="323"/>
      <c r="CP9" s="323"/>
      <c r="CQ9" s="395"/>
      <c r="CR9" s="351"/>
      <c r="CS9" s="351"/>
      <c r="CT9" s="351"/>
      <c r="CU9" s="351"/>
      <c r="CV9" s="352"/>
      <c r="CW9" s="352"/>
      <c r="CX9" s="352"/>
      <c r="CY9" s="352"/>
    </row>
    <row r="10" spans="1:103" s="320" customFormat="1" ht="12" customHeight="1" x14ac:dyDescent="0.2">
      <c r="B10" s="321">
        <f t="shared" si="1"/>
        <v>42525</v>
      </c>
      <c r="C10" s="320">
        <v>67</v>
      </c>
      <c r="D10" s="320">
        <v>27</v>
      </c>
      <c r="E10" s="320">
        <v>10</v>
      </c>
      <c r="F10" s="320">
        <v>14</v>
      </c>
      <c r="G10" s="325"/>
      <c r="H10" s="325"/>
      <c r="I10" s="325"/>
      <c r="J10" s="325"/>
      <c r="K10" s="325"/>
      <c r="L10" s="325"/>
      <c r="M10" s="325"/>
      <c r="N10" s="325"/>
      <c r="O10" s="320">
        <f t="shared" si="0"/>
        <v>118</v>
      </c>
      <c r="P10" s="254">
        <v>193</v>
      </c>
      <c r="Q10" s="322">
        <f t="shared" si="2"/>
        <v>-43.690122126436783</v>
      </c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  <c r="AK10" s="325"/>
      <c r="AL10" s="325"/>
      <c r="AM10" s="325"/>
      <c r="AN10" s="325"/>
      <c r="AO10" s="325"/>
      <c r="AP10" s="325"/>
      <c r="AQ10" s="325"/>
      <c r="AR10" s="325"/>
      <c r="AS10" s="325"/>
      <c r="AT10" s="325"/>
      <c r="AU10" s="325"/>
      <c r="AV10" s="325"/>
      <c r="AW10" s="325"/>
      <c r="AX10" s="325"/>
      <c r="AY10" s="325"/>
      <c r="AZ10" s="325"/>
      <c r="BA10" s="325"/>
      <c r="BB10" s="325"/>
      <c r="BC10" s="325"/>
      <c r="BD10" s="325"/>
      <c r="BE10" s="325"/>
      <c r="BF10" s="325"/>
      <c r="BG10" s="325"/>
      <c r="BH10" s="325"/>
      <c r="BI10" s="325"/>
      <c r="BJ10" s="325"/>
      <c r="BK10" s="325"/>
      <c r="BL10" s="325"/>
      <c r="BM10" s="325"/>
      <c r="BN10" s="322">
        <v>508.61</v>
      </c>
      <c r="BO10" s="322">
        <v>957.15</v>
      </c>
      <c r="BP10" s="322">
        <v>1137.1099999999999</v>
      </c>
      <c r="BQ10" s="322">
        <v>1360.71</v>
      </c>
      <c r="BR10" s="325"/>
      <c r="BS10" s="325"/>
      <c r="BT10" s="325"/>
      <c r="BU10" s="325"/>
      <c r="BV10" s="325"/>
      <c r="BW10" s="325"/>
      <c r="BX10" s="325"/>
      <c r="BY10" s="325"/>
      <c r="BZ10" s="329">
        <v>-216.67</v>
      </c>
      <c r="CA10" s="322">
        <v>-433.33</v>
      </c>
      <c r="CB10" s="322">
        <v>-411.67</v>
      </c>
      <c r="CC10" s="322">
        <v>-507</v>
      </c>
      <c r="CD10" s="325"/>
      <c r="CE10" s="325"/>
      <c r="CF10" s="325"/>
      <c r="CG10" s="325"/>
      <c r="CH10" s="325"/>
      <c r="CI10" s="325"/>
      <c r="CJ10" s="325"/>
      <c r="CK10" s="325"/>
      <c r="CL10" s="323">
        <v>74067.41</v>
      </c>
      <c r="CM10" s="325"/>
      <c r="CN10" s="322">
        <f t="shared" si="3"/>
        <v>-5068.0541666666668</v>
      </c>
      <c r="CO10" s="323"/>
      <c r="CP10" s="323"/>
      <c r="CQ10" s="395"/>
      <c r="CR10" s="351"/>
      <c r="CS10" s="351"/>
      <c r="CT10" s="351"/>
      <c r="CU10" s="351"/>
      <c r="CV10" s="352"/>
      <c r="CW10" s="352"/>
      <c r="CX10" s="352"/>
      <c r="CY10" s="352"/>
    </row>
    <row r="11" spans="1:103" s="320" customFormat="1" ht="12" customHeight="1" x14ac:dyDescent="0.2">
      <c r="A11" s="320" t="s">
        <v>166</v>
      </c>
      <c r="B11" s="321">
        <f t="shared" si="1"/>
        <v>42556</v>
      </c>
      <c r="C11" s="320">
        <v>69</v>
      </c>
      <c r="D11" s="320">
        <v>27</v>
      </c>
      <c r="E11" s="320">
        <v>10</v>
      </c>
      <c r="F11" s="320">
        <v>14</v>
      </c>
      <c r="G11" s="325"/>
      <c r="H11" s="325"/>
      <c r="I11" s="325"/>
      <c r="J11" s="325"/>
      <c r="K11" s="325"/>
      <c r="L11" s="325"/>
      <c r="M11" s="325"/>
      <c r="N11" s="325"/>
      <c r="O11" s="320">
        <f t="shared" si="0"/>
        <v>120</v>
      </c>
      <c r="P11" s="254">
        <v>198</v>
      </c>
      <c r="Q11" s="322">
        <f t="shared" si="2"/>
        <v>-43.316702279202282</v>
      </c>
      <c r="R11" s="325"/>
      <c r="S11" s="325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325"/>
      <c r="AK11" s="325"/>
      <c r="AL11" s="325"/>
      <c r="AM11" s="325"/>
      <c r="AN11" s="325"/>
      <c r="AO11" s="325"/>
      <c r="AP11" s="325"/>
      <c r="AQ11" s="325"/>
      <c r="AR11" s="325"/>
      <c r="AS11" s="325"/>
      <c r="AT11" s="325"/>
      <c r="AU11" s="325"/>
      <c r="AV11" s="325"/>
      <c r="AW11" s="325"/>
      <c r="AX11" s="325"/>
      <c r="AY11" s="325"/>
      <c r="AZ11" s="325"/>
      <c r="BA11" s="325"/>
      <c r="BB11" s="325"/>
      <c r="BC11" s="325"/>
      <c r="BD11" s="325"/>
      <c r="BE11" s="325"/>
      <c r="BF11" s="325"/>
      <c r="BG11" s="325"/>
      <c r="BH11" s="325"/>
      <c r="BI11" s="325"/>
      <c r="BJ11" s="325"/>
      <c r="BK11" s="325"/>
      <c r="BL11" s="325"/>
      <c r="BM11" s="325"/>
      <c r="BN11" s="322">
        <v>508.61</v>
      </c>
      <c r="BO11" s="322">
        <v>957.15</v>
      </c>
      <c r="BP11" s="322">
        <v>1137.1099999999999</v>
      </c>
      <c r="BQ11" s="322">
        <v>1360.71</v>
      </c>
      <c r="BR11" s="325"/>
      <c r="BS11" s="325"/>
      <c r="BT11" s="325"/>
      <c r="BU11" s="325"/>
      <c r="BV11" s="325"/>
      <c r="BW11" s="325"/>
      <c r="BX11" s="325"/>
      <c r="BY11" s="325"/>
      <c r="BZ11" s="329">
        <v>-216.67</v>
      </c>
      <c r="CA11" s="322">
        <v>-433.33</v>
      </c>
      <c r="CB11" s="322">
        <v>-411.67</v>
      </c>
      <c r="CC11" s="322">
        <v>-507</v>
      </c>
      <c r="CD11" s="325"/>
      <c r="CE11" s="325"/>
      <c r="CF11" s="325"/>
      <c r="CG11" s="325"/>
      <c r="CH11" s="325"/>
      <c r="CI11" s="325"/>
      <c r="CJ11" s="325"/>
      <c r="CK11" s="325"/>
      <c r="CL11" s="323">
        <v>55163.27</v>
      </c>
      <c r="CM11" s="325"/>
      <c r="CN11" s="322">
        <f t="shared" si="3"/>
        <v>-5068.0541666666668</v>
      </c>
      <c r="CO11" s="323"/>
      <c r="CP11" s="323"/>
      <c r="CQ11" s="395"/>
      <c r="CR11" s="351"/>
      <c r="CS11" s="351"/>
      <c r="CT11" s="351"/>
      <c r="CU11" s="351"/>
      <c r="CV11" s="352"/>
      <c r="CW11" s="352"/>
      <c r="CX11" s="352"/>
      <c r="CY11" s="352"/>
    </row>
    <row r="12" spans="1:103" s="320" customFormat="1" ht="12" customHeight="1" x14ac:dyDescent="0.2">
      <c r="A12" s="322">
        <v>80000</v>
      </c>
      <c r="B12" s="321">
        <f t="shared" si="1"/>
        <v>42587</v>
      </c>
      <c r="C12" s="320">
        <v>64</v>
      </c>
      <c r="D12" s="320">
        <v>26</v>
      </c>
      <c r="E12" s="320">
        <v>10</v>
      </c>
      <c r="F12" s="320">
        <v>14</v>
      </c>
      <c r="G12" s="325"/>
      <c r="H12" s="325"/>
      <c r="I12" s="325"/>
      <c r="J12" s="325"/>
      <c r="K12" s="325"/>
      <c r="L12" s="325"/>
      <c r="M12" s="325"/>
      <c r="N12" s="325"/>
      <c r="O12" s="320">
        <f t="shared" si="0"/>
        <v>114</v>
      </c>
      <c r="P12" s="254">
        <v>200</v>
      </c>
      <c r="Q12" s="322">
        <f t="shared" si="2"/>
        <v>-42.949611581920905</v>
      </c>
      <c r="R12" s="325"/>
      <c r="S12" s="325"/>
      <c r="T12" s="325"/>
      <c r="U12" s="325"/>
      <c r="V12" s="325"/>
      <c r="W12" s="325"/>
      <c r="X12" s="325"/>
      <c r="Y12" s="325"/>
      <c r="Z12" s="325"/>
      <c r="AA12" s="325"/>
      <c r="AB12" s="325"/>
      <c r="AC12" s="325"/>
      <c r="AD12" s="325"/>
      <c r="AE12" s="325"/>
      <c r="AF12" s="325"/>
      <c r="AG12" s="325"/>
      <c r="AH12" s="325"/>
      <c r="AI12" s="325"/>
      <c r="AJ12" s="325"/>
      <c r="AK12" s="325"/>
      <c r="AL12" s="325"/>
      <c r="AM12" s="325"/>
      <c r="AN12" s="325"/>
      <c r="AO12" s="325"/>
      <c r="AP12" s="325"/>
      <c r="AQ12" s="325"/>
      <c r="AR12" s="325"/>
      <c r="AS12" s="325"/>
      <c r="AT12" s="325"/>
      <c r="AU12" s="325"/>
      <c r="AV12" s="325"/>
      <c r="AW12" s="325"/>
      <c r="AX12" s="325"/>
      <c r="AY12" s="325"/>
      <c r="AZ12" s="325"/>
      <c r="BA12" s="325"/>
      <c r="BB12" s="325"/>
      <c r="BC12" s="325"/>
      <c r="BD12" s="325"/>
      <c r="BE12" s="325"/>
      <c r="BF12" s="325"/>
      <c r="BG12" s="325"/>
      <c r="BH12" s="325"/>
      <c r="BI12" s="325"/>
      <c r="BJ12" s="325"/>
      <c r="BK12" s="325"/>
      <c r="BL12" s="325"/>
      <c r="BM12" s="325"/>
      <c r="BN12" s="322">
        <v>508.61</v>
      </c>
      <c r="BO12" s="322">
        <v>957.15</v>
      </c>
      <c r="BP12" s="322">
        <v>1137.1099999999999</v>
      </c>
      <c r="BQ12" s="322">
        <v>1360.71</v>
      </c>
      <c r="BR12" s="325"/>
      <c r="BS12" s="325"/>
      <c r="BT12" s="325"/>
      <c r="BU12" s="325"/>
      <c r="BV12" s="325"/>
      <c r="BW12" s="325"/>
      <c r="BX12" s="325"/>
      <c r="BY12" s="325"/>
      <c r="BZ12" s="329">
        <v>-216.67</v>
      </c>
      <c r="CA12" s="322">
        <v>-433.33</v>
      </c>
      <c r="CB12" s="322">
        <v>-411.67</v>
      </c>
      <c r="CC12" s="322">
        <v>-507</v>
      </c>
      <c r="CD12" s="325"/>
      <c r="CE12" s="325"/>
      <c r="CF12" s="325"/>
      <c r="CG12" s="325"/>
      <c r="CH12" s="325"/>
      <c r="CI12" s="325"/>
      <c r="CJ12" s="325"/>
      <c r="CK12" s="325"/>
      <c r="CL12" s="323">
        <v>100163.96</v>
      </c>
      <c r="CM12" s="325"/>
      <c r="CN12" s="322">
        <f t="shared" si="3"/>
        <v>-5068.0541666666668</v>
      </c>
      <c r="CO12" s="323"/>
      <c r="CP12" s="323"/>
      <c r="CQ12" s="395"/>
      <c r="CR12" s="351"/>
      <c r="CS12" s="351"/>
      <c r="CT12" s="351"/>
      <c r="CU12" s="351"/>
      <c r="CV12" s="352"/>
      <c r="CW12" s="352"/>
      <c r="CX12" s="352"/>
      <c r="CY12" s="352"/>
    </row>
    <row r="13" spans="1:103" s="320" customFormat="1" ht="12" customHeight="1" x14ac:dyDescent="0.2">
      <c r="B13" s="321">
        <f t="shared" si="1"/>
        <v>42618</v>
      </c>
      <c r="C13" s="320">
        <v>65</v>
      </c>
      <c r="D13" s="320">
        <v>28</v>
      </c>
      <c r="E13" s="320">
        <v>9</v>
      </c>
      <c r="F13" s="320">
        <v>15</v>
      </c>
      <c r="G13" s="325"/>
      <c r="H13" s="325"/>
      <c r="I13" s="325"/>
      <c r="J13" s="325"/>
      <c r="K13" s="325"/>
      <c r="L13" s="325"/>
      <c r="M13" s="325"/>
      <c r="N13" s="325"/>
      <c r="O13" s="320">
        <f t="shared" si="0"/>
        <v>117</v>
      </c>
      <c r="P13" s="254">
        <v>193</v>
      </c>
      <c r="Q13" s="322">
        <f t="shared" si="2"/>
        <v>-42.233784722222225</v>
      </c>
      <c r="R13" s="325"/>
      <c r="S13" s="325"/>
      <c r="T13" s="325"/>
      <c r="U13" s="325"/>
      <c r="V13" s="325"/>
      <c r="W13" s="325"/>
      <c r="X13" s="325"/>
      <c r="Y13" s="325"/>
      <c r="Z13" s="325"/>
      <c r="AA13" s="325"/>
      <c r="AB13" s="325"/>
      <c r="AC13" s="325"/>
      <c r="AD13" s="325"/>
      <c r="AE13" s="325"/>
      <c r="AF13" s="325"/>
      <c r="AG13" s="325"/>
      <c r="AH13" s="325"/>
      <c r="AI13" s="325"/>
      <c r="AJ13" s="325"/>
      <c r="AK13" s="325"/>
      <c r="AL13" s="325"/>
      <c r="AM13" s="325"/>
      <c r="AN13" s="325"/>
      <c r="AO13" s="325"/>
      <c r="AP13" s="325"/>
      <c r="AQ13" s="325"/>
      <c r="AR13" s="325"/>
      <c r="AS13" s="325"/>
      <c r="AT13" s="325"/>
      <c r="AU13" s="325"/>
      <c r="AV13" s="325"/>
      <c r="AW13" s="325"/>
      <c r="AX13" s="325"/>
      <c r="AY13" s="325"/>
      <c r="AZ13" s="325"/>
      <c r="BA13" s="325"/>
      <c r="BB13" s="325"/>
      <c r="BC13" s="325"/>
      <c r="BD13" s="325"/>
      <c r="BE13" s="325"/>
      <c r="BF13" s="325"/>
      <c r="BG13" s="325"/>
      <c r="BH13" s="325"/>
      <c r="BI13" s="325"/>
      <c r="BJ13" s="325"/>
      <c r="BK13" s="325"/>
      <c r="BL13" s="325"/>
      <c r="BM13" s="325"/>
      <c r="BN13" s="322">
        <v>508.61</v>
      </c>
      <c r="BO13" s="322">
        <v>957.15</v>
      </c>
      <c r="BP13" s="322">
        <v>1137.1099999999999</v>
      </c>
      <c r="BQ13" s="322">
        <v>1360.71</v>
      </c>
      <c r="BR13" s="325"/>
      <c r="BS13" s="325"/>
      <c r="BT13" s="325"/>
      <c r="BU13" s="325"/>
      <c r="BV13" s="325"/>
      <c r="BW13" s="325"/>
      <c r="BX13" s="325"/>
      <c r="BY13" s="325"/>
      <c r="BZ13" s="329">
        <v>-216.67</v>
      </c>
      <c r="CA13" s="322">
        <v>-433.33</v>
      </c>
      <c r="CB13" s="322">
        <v>-411.67</v>
      </c>
      <c r="CC13" s="322">
        <v>-507</v>
      </c>
      <c r="CD13" s="325"/>
      <c r="CE13" s="325"/>
      <c r="CF13" s="325"/>
      <c r="CG13" s="325"/>
      <c r="CH13" s="325"/>
      <c r="CI13" s="325"/>
      <c r="CJ13" s="325"/>
      <c r="CK13" s="325"/>
      <c r="CL13" s="323">
        <v>104935.27</v>
      </c>
      <c r="CM13" s="325"/>
      <c r="CN13" s="322">
        <f t="shared" si="3"/>
        <v>-5068.0541666666668</v>
      </c>
      <c r="CO13" s="323"/>
      <c r="CP13" s="323"/>
      <c r="CQ13" s="395"/>
      <c r="CR13" s="351"/>
      <c r="CS13" s="351"/>
      <c r="CT13" s="351"/>
      <c r="CU13" s="351"/>
      <c r="CV13" s="352"/>
      <c r="CW13" s="352"/>
      <c r="CX13" s="352"/>
      <c r="CY13" s="352"/>
    </row>
    <row r="14" spans="1:103" s="320" customFormat="1" ht="12" customHeight="1" x14ac:dyDescent="0.2">
      <c r="A14" s="320" t="s">
        <v>175</v>
      </c>
      <c r="B14" s="321">
        <f t="shared" si="1"/>
        <v>42649</v>
      </c>
      <c r="C14" s="320">
        <v>65</v>
      </c>
      <c r="D14" s="320">
        <v>28</v>
      </c>
      <c r="E14" s="320">
        <v>9</v>
      </c>
      <c r="F14" s="320">
        <v>15</v>
      </c>
      <c r="G14" s="325"/>
      <c r="H14" s="325"/>
      <c r="I14" s="325"/>
      <c r="J14" s="325"/>
      <c r="K14" s="325"/>
      <c r="L14" s="325"/>
      <c r="M14" s="325"/>
      <c r="N14" s="325"/>
      <c r="O14" s="320">
        <f t="shared" si="0"/>
        <v>117</v>
      </c>
      <c r="P14" s="254">
        <v>199</v>
      </c>
      <c r="Q14" s="322">
        <f t="shared" si="2"/>
        <v>-44.456615497076022</v>
      </c>
      <c r="R14" s="325"/>
      <c r="S14" s="325"/>
      <c r="T14" s="325"/>
      <c r="U14" s="325"/>
      <c r="V14" s="325"/>
      <c r="W14" s="325"/>
      <c r="X14" s="325"/>
      <c r="Y14" s="325"/>
      <c r="Z14" s="325"/>
      <c r="AA14" s="325"/>
      <c r="AB14" s="325"/>
      <c r="AC14" s="325"/>
      <c r="AD14" s="325"/>
      <c r="AE14" s="325"/>
      <c r="AF14" s="325"/>
      <c r="AG14" s="325"/>
      <c r="AH14" s="325"/>
      <c r="AI14" s="325"/>
      <c r="AJ14" s="325"/>
      <c r="AK14" s="325"/>
      <c r="AL14" s="325"/>
      <c r="AM14" s="325"/>
      <c r="AN14" s="325"/>
      <c r="AO14" s="325"/>
      <c r="AP14" s="325"/>
      <c r="AQ14" s="325"/>
      <c r="AR14" s="325"/>
      <c r="AS14" s="325"/>
      <c r="AT14" s="325"/>
      <c r="AU14" s="325"/>
      <c r="AV14" s="325"/>
      <c r="AW14" s="325"/>
      <c r="AX14" s="325"/>
      <c r="AY14" s="325"/>
      <c r="AZ14" s="325"/>
      <c r="BA14" s="325"/>
      <c r="BB14" s="325"/>
      <c r="BC14" s="325"/>
      <c r="BD14" s="325"/>
      <c r="BE14" s="325"/>
      <c r="BF14" s="325"/>
      <c r="BG14" s="325"/>
      <c r="BH14" s="325"/>
      <c r="BI14" s="325"/>
      <c r="BJ14" s="325"/>
      <c r="BK14" s="325"/>
      <c r="BL14" s="325"/>
      <c r="BM14" s="325"/>
      <c r="BN14" s="322">
        <v>508.61</v>
      </c>
      <c r="BO14" s="322">
        <v>957.15</v>
      </c>
      <c r="BP14" s="322">
        <v>1137.1099999999999</v>
      </c>
      <c r="BQ14" s="322">
        <v>1360.71</v>
      </c>
      <c r="BR14" s="325"/>
      <c r="BS14" s="325"/>
      <c r="BT14" s="325"/>
      <c r="BU14" s="325"/>
      <c r="BV14" s="325"/>
      <c r="BW14" s="325"/>
      <c r="BX14" s="325"/>
      <c r="BY14" s="325"/>
      <c r="BZ14" s="329">
        <v>-216.67</v>
      </c>
      <c r="CA14" s="322">
        <v>-433.33</v>
      </c>
      <c r="CB14" s="322">
        <v>-411.67</v>
      </c>
      <c r="CC14" s="322">
        <v>-507</v>
      </c>
      <c r="CD14" s="325"/>
      <c r="CE14" s="325"/>
      <c r="CF14" s="325"/>
      <c r="CG14" s="325"/>
      <c r="CH14" s="325"/>
      <c r="CI14" s="325"/>
      <c r="CJ14" s="325"/>
      <c r="CK14" s="325"/>
      <c r="CL14" s="323">
        <v>74678.289999999994</v>
      </c>
      <c r="CM14" s="325"/>
      <c r="CN14" s="322">
        <f t="shared" si="3"/>
        <v>-5068.0541666666668</v>
      </c>
      <c r="CO14" s="323"/>
      <c r="CP14" s="323"/>
      <c r="CQ14" s="395"/>
      <c r="CR14" s="351"/>
      <c r="CS14" s="351"/>
      <c r="CT14" s="351"/>
      <c r="CU14" s="351"/>
      <c r="CV14" s="352"/>
      <c r="CW14" s="352"/>
      <c r="CX14" s="352"/>
      <c r="CY14" s="352"/>
    </row>
    <row r="15" spans="1:103" s="320" customFormat="1" ht="12" customHeight="1" x14ac:dyDescent="0.2">
      <c r="B15" s="321">
        <f t="shared" si="1"/>
        <v>42680</v>
      </c>
      <c r="C15" s="320">
        <v>64</v>
      </c>
      <c r="D15" s="320">
        <v>26</v>
      </c>
      <c r="E15" s="320">
        <v>9</v>
      </c>
      <c r="F15" s="320">
        <v>14</v>
      </c>
      <c r="G15" s="325"/>
      <c r="H15" s="325"/>
      <c r="I15" s="325"/>
      <c r="J15" s="325"/>
      <c r="K15" s="325"/>
      <c r="L15" s="325"/>
      <c r="M15" s="325"/>
      <c r="N15" s="325"/>
      <c r="O15" s="320">
        <f t="shared" si="0"/>
        <v>113</v>
      </c>
      <c r="P15" s="254">
        <v>190</v>
      </c>
      <c r="Q15" s="322">
        <f t="shared" si="2"/>
        <v>-43.316702279202282</v>
      </c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  <c r="AC15" s="325"/>
      <c r="AD15" s="325"/>
      <c r="AE15" s="325"/>
      <c r="AF15" s="325"/>
      <c r="AG15" s="325"/>
      <c r="AH15" s="325"/>
      <c r="AI15" s="325"/>
      <c r="AJ15" s="325"/>
      <c r="AK15" s="325"/>
      <c r="AL15" s="325"/>
      <c r="AM15" s="325"/>
      <c r="AN15" s="325"/>
      <c r="AO15" s="325"/>
      <c r="AP15" s="325"/>
      <c r="AQ15" s="325"/>
      <c r="AR15" s="325"/>
      <c r="AS15" s="325"/>
      <c r="AT15" s="325"/>
      <c r="AU15" s="325"/>
      <c r="AV15" s="325"/>
      <c r="AW15" s="325"/>
      <c r="AX15" s="325"/>
      <c r="AY15" s="325"/>
      <c r="AZ15" s="325"/>
      <c r="BA15" s="325"/>
      <c r="BB15" s="325"/>
      <c r="BC15" s="325"/>
      <c r="BD15" s="325"/>
      <c r="BE15" s="325"/>
      <c r="BF15" s="325"/>
      <c r="BG15" s="325"/>
      <c r="BH15" s="325"/>
      <c r="BI15" s="325"/>
      <c r="BJ15" s="325"/>
      <c r="BK15" s="325"/>
      <c r="BL15" s="325"/>
      <c r="BM15" s="325"/>
      <c r="BN15" s="322">
        <v>508.61</v>
      </c>
      <c r="BO15" s="322">
        <v>957.15</v>
      </c>
      <c r="BP15" s="322">
        <v>1137.1099999999999</v>
      </c>
      <c r="BQ15" s="322">
        <v>1360.71</v>
      </c>
      <c r="BR15" s="325"/>
      <c r="BS15" s="325"/>
      <c r="BT15" s="325"/>
      <c r="BU15" s="325"/>
      <c r="BV15" s="325"/>
      <c r="BW15" s="325"/>
      <c r="BX15" s="325"/>
      <c r="BY15" s="325"/>
      <c r="BZ15" s="329">
        <v>-216.67</v>
      </c>
      <c r="CA15" s="322">
        <v>-433.33</v>
      </c>
      <c r="CB15" s="322">
        <v>-411.67</v>
      </c>
      <c r="CC15" s="322">
        <v>-507</v>
      </c>
      <c r="CD15" s="325"/>
      <c r="CE15" s="325"/>
      <c r="CF15" s="325"/>
      <c r="CG15" s="325"/>
      <c r="CH15" s="325"/>
      <c r="CI15" s="325"/>
      <c r="CJ15" s="325"/>
      <c r="CK15" s="325"/>
      <c r="CL15" s="323">
        <v>32389.53</v>
      </c>
      <c r="CM15" s="325"/>
      <c r="CN15" s="322">
        <f t="shared" si="3"/>
        <v>-5068.0541666666668</v>
      </c>
      <c r="CO15" s="323"/>
      <c r="CP15" s="323"/>
      <c r="CQ15" s="395"/>
      <c r="CR15" s="351"/>
      <c r="CS15" s="351"/>
      <c r="CT15" s="351"/>
      <c r="CU15" s="351"/>
      <c r="CV15" s="352"/>
      <c r="CW15" s="352"/>
      <c r="CX15" s="352"/>
      <c r="CY15" s="352"/>
    </row>
    <row r="16" spans="1:103" s="320" customFormat="1" ht="12" customHeight="1" x14ac:dyDescent="0.2">
      <c r="B16" s="321">
        <f t="shared" si="1"/>
        <v>42711</v>
      </c>
      <c r="C16" s="320">
        <v>64</v>
      </c>
      <c r="D16" s="320">
        <v>23</v>
      </c>
      <c r="E16" s="320">
        <v>9</v>
      </c>
      <c r="F16" s="320">
        <v>12</v>
      </c>
      <c r="G16" s="325"/>
      <c r="H16" s="325"/>
      <c r="I16" s="325"/>
      <c r="J16" s="325"/>
      <c r="K16" s="325"/>
      <c r="L16" s="325"/>
      <c r="M16" s="325"/>
      <c r="N16" s="325"/>
      <c r="O16" s="320">
        <f t="shared" si="0"/>
        <v>108</v>
      </c>
      <c r="P16" s="254">
        <v>178</v>
      </c>
      <c r="Q16" s="322">
        <f t="shared" si="2"/>
        <v>-43.316702279202282</v>
      </c>
      <c r="R16" s="325"/>
      <c r="S16" s="325"/>
      <c r="T16" s="325"/>
      <c r="U16" s="325"/>
      <c r="V16" s="325"/>
      <c r="W16" s="325"/>
      <c r="X16" s="325"/>
      <c r="Y16" s="325"/>
      <c r="Z16" s="325"/>
      <c r="AA16" s="325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25"/>
      <c r="AN16" s="325"/>
      <c r="AO16" s="325"/>
      <c r="AP16" s="325"/>
      <c r="AQ16" s="325"/>
      <c r="AR16" s="325"/>
      <c r="AS16" s="325"/>
      <c r="AT16" s="325"/>
      <c r="AU16" s="325"/>
      <c r="AV16" s="325"/>
      <c r="AW16" s="325"/>
      <c r="AX16" s="325"/>
      <c r="AY16" s="325"/>
      <c r="AZ16" s="325"/>
      <c r="BA16" s="325"/>
      <c r="BB16" s="325"/>
      <c r="BC16" s="325"/>
      <c r="BD16" s="325"/>
      <c r="BE16" s="325"/>
      <c r="BF16" s="325"/>
      <c r="BG16" s="325"/>
      <c r="BH16" s="325"/>
      <c r="BI16" s="325"/>
      <c r="BJ16" s="325"/>
      <c r="BK16" s="325"/>
      <c r="BL16" s="325"/>
      <c r="BM16" s="325"/>
      <c r="BN16" s="322">
        <v>508.61</v>
      </c>
      <c r="BO16" s="322">
        <v>957.15</v>
      </c>
      <c r="BP16" s="322">
        <v>1137.1099999999999</v>
      </c>
      <c r="BQ16" s="322">
        <v>1360.71</v>
      </c>
      <c r="BR16" s="325"/>
      <c r="BS16" s="325"/>
      <c r="BT16" s="325"/>
      <c r="BU16" s="325"/>
      <c r="BV16" s="325"/>
      <c r="BW16" s="325"/>
      <c r="BX16" s="325"/>
      <c r="BY16" s="325"/>
      <c r="BZ16" s="329">
        <v>-216.67</v>
      </c>
      <c r="CA16" s="322">
        <v>-433.33</v>
      </c>
      <c r="CB16" s="322">
        <v>-411.67</v>
      </c>
      <c r="CC16" s="322">
        <v>-507</v>
      </c>
      <c r="CD16" s="325"/>
      <c r="CE16" s="325"/>
      <c r="CF16" s="325"/>
      <c r="CG16" s="325"/>
      <c r="CH16" s="325"/>
      <c r="CI16" s="325"/>
      <c r="CJ16" s="325"/>
      <c r="CK16" s="325"/>
      <c r="CL16" s="323">
        <v>57391.09</v>
      </c>
      <c r="CM16" s="325"/>
      <c r="CN16" s="322">
        <f t="shared" si="3"/>
        <v>-5068.0541666666668</v>
      </c>
      <c r="CO16" s="323"/>
      <c r="CP16" s="323"/>
      <c r="CQ16" s="395"/>
      <c r="CR16" s="351"/>
      <c r="CS16" s="351"/>
      <c r="CT16" s="351"/>
      <c r="CU16" s="351"/>
      <c r="CV16" s="352"/>
      <c r="CW16" s="352"/>
      <c r="CX16" s="352"/>
      <c r="CY16" s="352"/>
    </row>
    <row r="17" spans="1:103" s="337" customFormat="1" ht="12" customHeight="1" x14ac:dyDescent="0.2">
      <c r="A17" s="337" t="s">
        <v>171</v>
      </c>
      <c r="B17" s="338">
        <f t="shared" si="1"/>
        <v>42742</v>
      </c>
      <c r="C17" s="337">
        <v>61</v>
      </c>
      <c r="D17" s="337">
        <v>25</v>
      </c>
      <c r="E17" s="337">
        <v>8</v>
      </c>
      <c r="F17" s="337">
        <v>10</v>
      </c>
      <c r="G17" s="339"/>
      <c r="H17" s="339"/>
      <c r="I17" s="339"/>
      <c r="J17" s="339"/>
      <c r="K17" s="339"/>
      <c r="L17" s="339"/>
      <c r="M17" s="339"/>
      <c r="N17" s="339"/>
      <c r="O17" s="337">
        <f t="shared" si="0"/>
        <v>104</v>
      </c>
      <c r="P17" s="340">
        <v>171</v>
      </c>
      <c r="Q17" s="341">
        <f t="shared" si="2"/>
        <v>-241.04442477876105</v>
      </c>
      <c r="R17" s="339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339"/>
      <c r="AD17" s="339"/>
      <c r="AE17" s="339"/>
      <c r="AF17" s="339"/>
      <c r="AG17" s="339"/>
      <c r="AH17" s="339"/>
      <c r="AI17" s="339"/>
      <c r="AJ17" s="339"/>
      <c r="AK17" s="339"/>
      <c r="AL17" s="339"/>
      <c r="AM17" s="339"/>
      <c r="AN17" s="339"/>
      <c r="AO17" s="339"/>
      <c r="AP17" s="339"/>
      <c r="AQ17" s="339"/>
      <c r="AR17" s="339"/>
      <c r="AS17" s="339"/>
      <c r="AT17" s="339"/>
      <c r="AU17" s="339"/>
      <c r="AV17" s="339"/>
      <c r="AW17" s="339"/>
      <c r="AX17" s="339"/>
      <c r="AY17" s="339"/>
      <c r="AZ17" s="339"/>
      <c r="BA17" s="339"/>
      <c r="BB17" s="339"/>
      <c r="BC17" s="339"/>
      <c r="BD17" s="339"/>
      <c r="BE17" s="339"/>
      <c r="BF17" s="339"/>
      <c r="BG17" s="339"/>
      <c r="BH17" s="339"/>
      <c r="BI17" s="339"/>
      <c r="BJ17" s="339"/>
      <c r="BK17" s="339"/>
      <c r="BL17" s="339"/>
      <c r="BM17" s="339"/>
      <c r="BN17" s="341">
        <v>543.69000000000005</v>
      </c>
      <c r="BO17" s="341">
        <v>1017.39</v>
      </c>
      <c r="BP17" s="341">
        <v>833.32</v>
      </c>
      <c r="BQ17" s="341">
        <v>1420.92</v>
      </c>
      <c r="BR17" s="339"/>
      <c r="BS17" s="339"/>
      <c r="BT17" s="339"/>
      <c r="BU17" s="339"/>
      <c r="BV17" s="339"/>
      <c r="BW17" s="339"/>
      <c r="BX17" s="339"/>
      <c r="BY17" s="339"/>
      <c r="BZ17" s="342">
        <v>-260</v>
      </c>
      <c r="CA17" s="341">
        <v>-585</v>
      </c>
      <c r="CB17" s="341">
        <v>-455</v>
      </c>
      <c r="CC17" s="341">
        <v>-671.67</v>
      </c>
      <c r="CD17" s="339"/>
      <c r="CE17" s="339"/>
      <c r="CF17" s="339"/>
      <c r="CG17" s="339"/>
      <c r="CH17" s="339"/>
      <c r="CI17" s="339"/>
      <c r="CJ17" s="339"/>
      <c r="CK17" s="339"/>
      <c r="CL17" s="343">
        <v>104402.48</v>
      </c>
      <c r="CM17" s="339"/>
      <c r="CN17" s="341">
        <f>(((306426.25-80000)+(156247.43-80000)+(104182.56-80000))*-1)/12</f>
        <v>-27238.02</v>
      </c>
      <c r="CO17" s="343"/>
      <c r="CP17" s="343"/>
      <c r="CQ17" s="396"/>
      <c r="CR17" s="353"/>
      <c r="CS17" s="353"/>
      <c r="CT17" s="353"/>
      <c r="CU17" s="353"/>
      <c r="CV17" s="354"/>
      <c r="CW17" s="354"/>
      <c r="CX17" s="354"/>
      <c r="CY17" s="354"/>
    </row>
    <row r="18" spans="1:103" s="320" customFormat="1" ht="12" customHeight="1" x14ac:dyDescent="0.2">
      <c r="A18" s="320" t="s">
        <v>172</v>
      </c>
      <c r="B18" s="321">
        <f t="shared" si="1"/>
        <v>42773</v>
      </c>
      <c r="C18" s="320">
        <v>60</v>
      </c>
      <c r="D18" s="320">
        <v>24</v>
      </c>
      <c r="E18" s="320">
        <v>8</v>
      </c>
      <c r="F18" s="320">
        <v>11</v>
      </c>
      <c r="G18" s="325"/>
      <c r="H18" s="325"/>
      <c r="I18" s="325"/>
      <c r="J18" s="325"/>
      <c r="K18" s="325"/>
      <c r="L18" s="325"/>
      <c r="M18" s="325"/>
      <c r="N18" s="325"/>
      <c r="O18" s="320">
        <f t="shared" si="0"/>
        <v>103</v>
      </c>
      <c r="P18" s="254">
        <v>172</v>
      </c>
      <c r="Q18" s="322">
        <f t="shared" si="2"/>
        <v>-252.20388888888888</v>
      </c>
      <c r="R18" s="325"/>
      <c r="S18" s="325"/>
      <c r="T18" s="325"/>
      <c r="U18" s="325"/>
      <c r="V18" s="325"/>
      <c r="W18" s="325"/>
      <c r="X18" s="325"/>
      <c r="Y18" s="325"/>
      <c r="Z18" s="325"/>
      <c r="AA18" s="325"/>
      <c r="AB18" s="325"/>
      <c r="AC18" s="325"/>
      <c r="AD18" s="325"/>
      <c r="AE18" s="325"/>
      <c r="AF18" s="325"/>
      <c r="AG18" s="325"/>
      <c r="AH18" s="325"/>
      <c r="AI18" s="325"/>
      <c r="AJ18" s="325"/>
      <c r="AK18" s="325"/>
      <c r="AL18" s="325"/>
      <c r="AM18" s="325"/>
      <c r="AN18" s="325"/>
      <c r="AO18" s="325"/>
      <c r="AP18" s="325"/>
      <c r="AQ18" s="325"/>
      <c r="AR18" s="325"/>
      <c r="AS18" s="325"/>
      <c r="AT18" s="325"/>
      <c r="AU18" s="325"/>
      <c r="AV18" s="325"/>
      <c r="AW18" s="325"/>
      <c r="AX18" s="325"/>
      <c r="AY18" s="325"/>
      <c r="AZ18" s="325"/>
      <c r="BA18" s="325"/>
      <c r="BB18" s="325"/>
      <c r="BC18" s="325"/>
      <c r="BD18" s="325"/>
      <c r="BE18" s="325"/>
      <c r="BF18" s="325"/>
      <c r="BG18" s="325"/>
      <c r="BH18" s="325"/>
      <c r="BI18" s="325"/>
      <c r="BJ18" s="325"/>
      <c r="BK18" s="325"/>
      <c r="BL18" s="325"/>
      <c r="BM18" s="325"/>
      <c r="BN18" s="322">
        <v>543.69000000000005</v>
      </c>
      <c r="BO18" s="322">
        <v>1017.39</v>
      </c>
      <c r="BP18" s="322">
        <v>833.32</v>
      </c>
      <c r="BQ18" s="322">
        <v>1420.92</v>
      </c>
      <c r="BR18" s="325"/>
      <c r="BS18" s="325"/>
      <c r="BT18" s="325"/>
      <c r="BU18" s="325"/>
      <c r="BV18" s="325"/>
      <c r="BW18" s="325"/>
      <c r="BX18" s="325"/>
      <c r="BY18" s="325"/>
      <c r="BZ18" s="329">
        <v>-260</v>
      </c>
      <c r="CA18" s="322">
        <v>-585</v>
      </c>
      <c r="CB18" s="322">
        <v>-455</v>
      </c>
      <c r="CC18" s="322">
        <v>-671.67</v>
      </c>
      <c r="CD18" s="325"/>
      <c r="CE18" s="325"/>
      <c r="CF18" s="325"/>
      <c r="CG18" s="325"/>
      <c r="CH18" s="325"/>
      <c r="CI18" s="325"/>
      <c r="CJ18" s="325"/>
      <c r="CK18" s="325"/>
      <c r="CL18" s="323">
        <v>58375.58</v>
      </c>
      <c r="CM18" s="325"/>
      <c r="CN18" s="322">
        <f>CN17</f>
        <v>-27238.02</v>
      </c>
      <c r="CO18" s="323"/>
      <c r="CP18" s="323"/>
      <c r="CQ18" s="395"/>
      <c r="CR18" s="351"/>
      <c r="CS18" s="351"/>
      <c r="CT18" s="351"/>
      <c r="CU18" s="351"/>
      <c r="CV18" s="352"/>
      <c r="CW18" s="352"/>
      <c r="CX18" s="352"/>
      <c r="CY18" s="352"/>
    </row>
    <row r="19" spans="1:103" s="320" customFormat="1" ht="12" customHeight="1" x14ac:dyDescent="0.2">
      <c r="B19" s="321">
        <f t="shared" si="1"/>
        <v>42804</v>
      </c>
      <c r="C19" s="320">
        <v>58</v>
      </c>
      <c r="D19" s="320">
        <v>24</v>
      </c>
      <c r="E19" s="320">
        <v>8</v>
      </c>
      <c r="F19" s="320">
        <v>11</v>
      </c>
      <c r="G19" s="325"/>
      <c r="H19" s="325"/>
      <c r="I19" s="325"/>
      <c r="J19" s="325"/>
      <c r="K19" s="325"/>
      <c r="L19" s="325"/>
      <c r="M19" s="325"/>
      <c r="N19" s="325"/>
      <c r="O19" s="320">
        <f t="shared" si="0"/>
        <v>101</v>
      </c>
      <c r="P19" s="254">
        <v>169</v>
      </c>
      <c r="Q19" s="322">
        <f t="shared" si="2"/>
        <v>-261.90403846153845</v>
      </c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325"/>
      <c r="AK19" s="325"/>
      <c r="AL19" s="325"/>
      <c r="AM19" s="325"/>
      <c r="AN19" s="325"/>
      <c r="AO19" s="325"/>
      <c r="AP19" s="325"/>
      <c r="AQ19" s="325"/>
      <c r="AR19" s="325"/>
      <c r="AS19" s="325"/>
      <c r="AT19" s="325"/>
      <c r="AU19" s="325"/>
      <c r="AV19" s="325"/>
      <c r="AW19" s="325"/>
      <c r="AX19" s="325"/>
      <c r="AY19" s="325"/>
      <c r="AZ19" s="325"/>
      <c r="BA19" s="325"/>
      <c r="BB19" s="325"/>
      <c r="BC19" s="325"/>
      <c r="BD19" s="325"/>
      <c r="BE19" s="325"/>
      <c r="BF19" s="325"/>
      <c r="BG19" s="325"/>
      <c r="BH19" s="325"/>
      <c r="BI19" s="325"/>
      <c r="BJ19" s="325"/>
      <c r="BK19" s="325"/>
      <c r="BL19" s="325"/>
      <c r="BM19" s="325"/>
      <c r="BN19" s="322">
        <v>543.69000000000005</v>
      </c>
      <c r="BO19" s="322">
        <v>1017.39</v>
      </c>
      <c r="BP19" s="322">
        <v>833.32</v>
      </c>
      <c r="BQ19" s="322">
        <v>1420.92</v>
      </c>
      <c r="BR19" s="325"/>
      <c r="BS19" s="325"/>
      <c r="BT19" s="325"/>
      <c r="BU19" s="325"/>
      <c r="BV19" s="325"/>
      <c r="BW19" s="325"/>
      <c r="BX19" s="325"/>
      <c r="BY19" s="325"/>
      <c r="BZ19" s="329">
        <v>-260</v>
      </c>
      <c r="CA19" s="322">
        <v>-585</v>
      </c>
      <c r="CB19" s="322">
        <v>-455</v>
      </c>
      <c r="CC19" s="322">
        <v>-671.67</v>
      </c>
      <c r="CD19" s="325"/>
      <c r="CE19" s="325"/>
      <c r="CF19" s="325"/>
      <c r="CG19" s="325"/>
      <c r="CH19" s="325"/>
      <c r="CI19" s="325"/>
      <c r="CJ19" s="325"/>
      <c r="CK19" s="325"/>
      <c r="CL19" s="323">
        <v>84065.06</v>
      </c>
      <c r="CM19" s="325"/>
      <c r="CN19" s="322">
        <f t="shared" ref="CN19:CN28" si="4">CN18</f>
        <v>-27238.02</v>
      </c>
      <c r="CO19" s="323"/>
      <c r="CP19" s="323"/>
      <c r="CQ19" s="395"/>
      <c r="CR19" s="351"/>
      <c r="CS19" s="351"/>
      <c r="CT19" s="351"/>
      <c r="CU19" s="351"/>
      <c r="CV19" s="352"/>
      <c r="CW19" s="352"/>
      <c r="CX19" s="352"/>
      <c r="CY19" s="352"/>
    </row>
    <row r="20" spans="1:103" s="320" customFormat="1" ht="12" customHeight="1" x14ac:dyDescent="0.2">
      <c r="A20" s="320" t="s">
        <v>173</v>
      </c>
      <c r="B20" s="321">
        <f t="shared" si="1"/>
        <v>42835</v>
      </c>
      <c r="C20" s="320">
        <v>59</v>
      </c>
      <c r="D20" s="320">
        <v>22</v>
      </c>
      <c r="E20" s="320">
        <v>8</v>
      </c>
      <c r="F20" s="320">
        <v>11</v>
      </c>
      <c r="G20" s="325"/>
      <c r="H20" s="325"/>
      <c r="I20" s="325"/>
      <c r="J20" s="325"/>
      <c r="K20" s="325"/>
      <c r="L20" s="325"/>
      <c r="M20" s="325"/>
      <c r="N20" s="325"/>
      <c r="O20" s="320">
        <f t="shared" si="0"/>
        <v>100</v>
      </c>
      <c r="P20" s="254">
        <v>165</v>
      </c>
      <c r="Q20" s="322">
        <f t="shared" si="2"/>
        <v>-264.44679611650486</v>
      </c>
      <c r="R20" s="325"/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325"/>
      <c r="AJ20" s="325"/>
      <c r="AK20" s="325"/>
      <c r="AL20" s="325"/>
      <c r="AM20" s="325"/>
      <c r="AN20" s="325"/>
      <c r="AO20" s="325"/>
      <c r="AP20" s="325"/>
      <c r="AQ20" s="325"/>
      <c r="AR20" s="325"/>
      <c r="AS20" s="325"/>
      <c r="AT20" s="325"/>
      <c r="AU20" s="325"/>
      <c r="AV20" s="325"/>
      <c r="AW20" s="325"/>
      <c r="AX20" s="325"/>
      <c r="AY20" s="325"/>
      <c r="AZ20" s="325"/>
      <c r="BA20" s="325"/>
      <c r="BB20" s="325"/>
      <c r="BC20" s="325"/>
      <c r="BD20" s="325"/>
      <c r="BE20" s="325"/>
      <c r="BF20" s="325"/>
      <c r="BG20" s="325"/>
      <c r="BH20" s="325"/>
      <c r="BI20" s="325"/>
      <c r="BJ20" s="325"/>
      <c r="BK20" s="325"/>
      <c r="BL20" s="325"/>
      <c r="BM20" s="325"/>
      <c r="BN20" s="322">
        <v>543.69000000000005</v>
      </c>
      <c r="BO20" s="322">
        <v>1017.39</v>
      </c>
      <c r="BP20" s="322">
        <v>833.32</v>
      </c>
      <c r="BQ20" s="322">
        <v>1420.92</v>
      </c>
      <c r="BR20" s="325"/>
      <c r="BS20" s="325"/>
      <c r="BT20" s="325"/>
      <c r="BU20" s="325"/>
      <c r="BV20" s="325"/>
      <c r="BW20" s="325"/>
      <c r="BX20" s="325"/>
      <c r="BY20" s="325"/>
      <c r="BZ20" s="329">
        <v>-260</v>
      </c>
      <c r="CA20" s="322">
        <v>-585</v>
      </c>
      <c r="CB20" s="322">
        <v>-455</v>
      </c>
      <c r="CC20" s="322">
        <v>-671.67</v>
      </c>
      <c r="CD20" s="325"/>
      <c r="CE20" s="325"/>
      <c r="CF20" s="325"/>
      <c r="CG20" s="325"/>
      <c r="CH20" s="325"/>
      <c r="CI20" s="325"/>
      <c r="CJ20" s="325"/>
      <c r="CK20" s="325"/>
      <c r="CL20" s="323">
        <v>72601.67</v>
      </c>
      <c r="CM20" s="325"/>
      <c r="CN20" s="322">
        <f t="shared" si="4"/>
        <v>-27238.02</v>
      </c>
      <c r="CO20" s="323"/>
      <c r="CP20" s="323"/>
      <c r="CQ20" s="395"/>
      <c r="CR20" s="351"/>
      <c r="CS20" s="351"/>
      <c r="CT20" s="351"/>
      <c r="CU20" s="351"/>
      <c r="CV20" s="352"/>
      <c r="CW20" s="352"/>
      <c r="CX20" s="352"/>
      <c r="CY20" s="352"/>
    </row>
    <row r="21" spans="1:103" s="320" customFormat="1" ht="12" customHeight="1" x14ac:dyDescent="0.2">
      <c r="A21" s="320" t="s">
        <v>174</v>
      </c>
      <c r="B21" s="321">
        <f t="shared" si="1"/>
        <v>42866</v>
      </c>
      <c r="C21" s="320">
        <v>59</v>
      </c>
      <c r="D21" s="320">
        <v>21</v>
      </c>
      <c r="E21" s="320">
        <v>8</v>
      </c>
      <c r="F21" s="320">
        <v>12</v>
      </c>
      <c r="G21" s="325"/>
      <c r="H21" s="325"/>
      <c r="I21" s="325"/>
      <c r="J21" s="325"/>
      <c r="K21" s="325"/>
      <c r="L21" s="325"/>
      <c r="M21" s="325"/>
      <c r="N21" s="325"/>
      <c r="O21" s="320">
        <f t="shared" si="0"/>
        <v>100</v>
      </c>
      <c r="P21" s="254">
        <v>167</v>
      </c>
      <c r="Q21" s="322">
        <f t="shared" si="2"/>
        <v>-269.68336633663364</v>
      </c>
      <c r="R21" s="325"/>
      <c r="S21" s="325"/>
      <c r="T21" s="325"/>
      <c r="U21" s="325"/>
      <c r="V21" s="325"/>
      <c r="W21" s="325"/>
      <c r="X21" s="325"/>
      <c r="Y21" s="325"/>
      <c r="Z21" s="325"/>
      <c r="AA21" s="325"/>
      <c r="AB21" s="325"/>
      <c r="AC21" s="325"/>
      <c r="AD21" s="325"/>
      <c r="AE21" s="325"/>
      <c r="AF21" s="325"/>
      <c r="AG21" s="325"/>
      <c r="AH21" s="325"/>
      <c r="AI21" s="325"/>
      <c r="AJ21" s="325"/>
      <c r="AK21" s="325"/>
      <c r="AL21" s="325"/>
      <c r="AM21" s="325"/>
      <c r="AN21" s="325"/>
      <c r="AO21" s="325"/>
      <c r="AP21" s="325"/>
      <c r="AQ21" s="325"/>
      <c r="AR21" s="325"/>
      <c r="AS21" s="325"/>
      <c r="AT21" s="325"/>
      <c r="AU21" s="325"/>
      <c r="AV21" s="325"/>
      <c r="AW21" s="325"/>
      <c r="AX21" s="325"/>
      <c r="AY21" s="325"/>
      <c r="AZ21" s="325"/>
      <c r="BA21" s="325"/>
      <c r="BB21" s="325"/>
      <c r="BC21" s="325"/>
      <c r="BD21" s="325"/>
      <c r="BE21" s="325"/>
      <c r="BF21" s="325"/>
      <c r="BG21" s="325"/>
      <c r="BH21" s="325"/>
      <c r="BI21" s="325"/>
      <c r="BJ21" s="325"/>
      <c r="BK21" s="325"/>
      <c r="BL21" s="325"/>
      <c r="BM21" s="325"/>
      <c r="BN21" s="322">
        <v>543.69000000000005</v>
      </c>
      <c r="BO21" s="322">
        <v>1017.39</v>
      </c>
      <c r="BP21" s="322">
        <v>833.32</v>
      </c>
      <c r="BQ21" s="322">
        <v>1420.92</v>
      </c>
      <c r="BR21" s="325"/>
      <c r="BS21" s="325"/>
      <c r="BT21" s="325"/>
      <c r="BU21" s="325"/>
      <c r="BV21" s="325"/>
      <c r="BW21" s="325"/>
      <c r="BX21" s="325"/>
      <c r="BY21" s="325"/>
      <c r="BZ21" s="329">
        <v>-260</v>
      </c>
      <c r="CA21" s="322">
        <v>-585</v>
      </c>
      <c r="CB21" s="322">
        <v>-455</v>
      </c>
      <c r="CC21" s="322">
        <v>-671.67</v>
      </c>
      <c r="CD21" s="325"/>
      <c r="CE21" s="325"/>
      <c r="CF21" s="325"/>
      <c r="CG21" s="325"/>
      <c r="CH21" s="325"/>
      <c r="CI21" s="325"/>
      <c r="CJ21" s="325"/>
      <c r="CK21" s="325"/>
      <c r="CL21" s="323">
        <v>234449.9</v>
      </c>
      <c r="CM21" s="325"/>
      <c r="CN21" s="322">
        <f t="shared" si="4"/>
        <v>-27238.02</v>
      </c>
      <c r="CO21" s="323"/>
      <c r="CP21" s="323"/>
      <c r="CQ21" s="395"/>
      <c r="CR21" s="351"/>
      <c r="CS21" s="351"/>
      <c r="CT21" s="351"/>
      <c r="CU21" s="351"/>
      <c r="CV21" s="352"/>
      <c r="CW21" s="352"/>
      <c r="CX21" s="352"/>
      <c r="CY21" s="352"/>
    </row>
    <row r="22" spans="1:103" s="320" customFormat="1" ht="12" customHeight="1" x14ac:dyDescent="0.2">
      <c r="B22" s="321">
        <f t="shared" si="1"/>
        <v>42897</v>
      </c>
      <c r="C22" s="320">
        <v>58</v>
      </c>
      <c r="D22" s="320">
        <v>22</v>
      </c>
      <c r="E22" s="320">
        <v>7</v>
      </c>
      <c r="F22" s="320">
        <v>13</v>
      </c>
      <c r="G22" s="325"/>
      <c r="H22" s="325"/>
      <c r="I22" s="325"/>
      <c r="J22" s="325"/>
      <c r="K22" s="325"/>
      <c r="L22" s="325"/>
      <c r="M22" s="325"/>
      <c r="N22" s="325"/>
      <c r="O22" s="320">
        <f t="shared" si="0"/>
        <v>100</v>
      </c>
      <c r="P22" s="254">
        <v>169</v>
      </c>
      <c r="Q22" s="322">
        <f t="shared" si="2"/>
        <v>-272.3802</v>
      </c>
      <c r="R22" s="325"/>
      <c r="S22" s="325"/>
      <c r="T22" s="325"/>
      <c r="U22" s="325"/>
      <c r="V22" s="325"/>
      <c r="W22" s="325"/>
      <c r="X22" s="325"/>
      <c r="Y22" s="325"/>
      <c r="Z22" s="325"/>
      <c r="AA22" s="325"/>
      <c r="AB22" s="325"/>
      <c r="AC22" s="325"/>
      <c r="AD22" s="325"/>
      <c r="AE22" s="325"/>
      <c r="AF22" s="325"/>
      <c r="AG22" s="325"/>
      <c r="AH22" s="325"/>
      <c r="AI22" s="325"/>
      <c r="AJ22" s="325"/>
      <c r="AK22" s="325"/>
      <c r="AL22" s="325"/>
      <c r="AM22" s="325"/>
      <c r="AN22" s="325"/>
      <c r="AO22" s="325"/>
      <c r="AP22" s="325"/>
      <c r="AQ22" s="325"/>
      <c r="AR22" s="325"/>
      <c r="AS22" s="325"/>
      <c r="AT22" s="325"/>
      <c r="AU22" s="325"/>
      <c r="AV22" s="325"/>
      <c r="AW22" s="325"/>
      <c r="AX22" s="325"/>
      <c r="AY22" s="325"/>
      <c r="AZ22" s="325"/>
      <c r="BA22" s="325"/>
      <c r="BB22" s="325"/>
      <c r="BC22" s="325"/>
      <c r="BD22" s="325"/>
      <c r="BE22" s="325"/>
      <c r="BF22" s="325"/>
      <c r="BG22" s="325"/>
      <c r="BH22" s="325"/>
      <c r="BI22" s="325"/>
      <c r="BJ22" s="325"/>
      <c r="BK22" s="325"/>
      <c r="BL22" s="325"/>
      <c r="BM22" s="325"/>
      <c r="BN22" s="322">
        <v>543.69000000000005</v>
      </c>
      <c r="BO22" s="322">
        <v>1017.39</v>
      </c>
      <c r="BP22" s="322">
        <v>833.32</v>
      </c>
      <c r="BQ22" s="322">
        <v>1420.92</v>
      </c>
      <c r="BR22" s="325"/>
      <c r="BS22" s="325"/>
      <c r="BT22" s="325"/>
      <c r="BU22" s="325"/>
      <c r="BV22" s="325"/>
      <c r="BW22" s="325"/>
      <c r="BX22" s="325"/>
      <c r="BY22" s="325"/>
      <c r="BZ22" s="329">
        <v>-260</v>
      </c>
      <c r="CA22" s="322">
        <v>-585</v>
      </c>
      <c r="CB22" s="322">
        <v>-455</v>
      </c>
      <c r="CC22" s="322">
        <v>-671.67</v>
      </c>
      <c r="CD22" s="325"/>
      <c r="CE22" s="325"/>
      <c r="CF22" s="325"/>
      <c r="CG22" s="325"/>
      <c r="CH22" s="325"/>
      <c r="CI22" s="325"/>
      <c r="CJ22" s="325"/>
      <c r="CK22" s="325"/>
      <c r="CL22" s="323">
        <v>173790.47</v>
      </c>
      <c r="CM22" s="325"/>
      <c r="CN22" s="322">
        <f t="shared" si="4"/>
        <v>-27238.02</v>
      </c>
      <c r="CO22" s="323"/>
      <c r="CP22" s="323"/>
      <c r="CQ22" s="395"/>
      <c r="CR22" s="351"/>
      <c r="CS22" s="351"/>
      <c r="CT22" s="351"/>
      <c r="CU22" s="351"/>
      <c r="CV22" s="352"/>
      <c r="CW22" s="352"/>
      <c r="CX22" s="352"/>
      <c r="CY22" s="352"/>
    </row>
    <row r="23" spans="1:103" s="320" customFormat="1" ht="12" customHeight="1" x14ac:dyDescent="0.2">
      <c r="A23" s="320" t="s">
        <v>166</v>
      </c>
      <c r="B23" s="321">
        <f t="shared" si="1"/>
        <v>42928</v>
      </c>
      <c r="C23" s="320">
        <v>60</v>
      </c>
      <c r="D23" s="320">
        <v>18</v>
      </c>
      <c r="E23" s="320">
        <v>8</v>
      </c>
      <c r="F23" s="320">
        <v>13</v>
      </c>
      <c r="G23" s="325"/>
      <c r="H23" s="325"/>
      <c r="I23" s="325"/>
      <c r="J23" s="325"/>
      <c r="K23" s="325"/>
      <c r="L23" s="325"/>
      <c r="M23" s="325"/>
      <c r="N23" s="325"/>
      <c r="O23" s="320">
        <f t="shared" si="0"/>
        <v>99</v>
      </c>
      <c r="P23" s="254">
        <v>165</v>
      </c>
      <c r="Q23" s="322">
        <f t="shared" si="2"/>
        <v>-272.3802</v>
      </c>
      <c r="R23" s="325"/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325"/>
      <c r="AJ23" s="325"/>
      <c r="AK23" s="325"/>
      <c r="AL23" s="325"/>
      <c r="AM23" s="325"/>
      <c r="AN23" s="325"/>
      <c r="AO23" s="325"/>
      <c r="AP23" s="325"/>
      <c r="AQ23" s="325"/>
      <c r="AR23" s="325"/>
      <c r="AS23" s="325"/>
      <c r="AT23" s="325"/>
      <c r="AU23" s="325"/>
      <c r="AV23" s="325"/>
      <c r="AW23" s="325"/>
      <c r="AX23" s="325"/>
      <c r="AY23" s="325"/>
      <c r="AZ23" s="325"/>
      <c r="BA23" s="325"/>
      <c r="BB23" s="325"/>
      <c r="BC23" s="325"/>
      <c r="BD23" s="325"/>
      <c r="BE23" s="325"/>
      <c r="BF23" s="325"/>
      <c r="BG23" s="325"/>
      <c r="BH23" s="325"/>
      <c r="BI23" s="325"/>
      <c r="BJ23" s="325"/>
      <c r="BK23" s="325"/>
      <c r="BL23" s="325"/>
      <c r="BM23" s="325"/>
      <c r="BN23" s="322">
        <v>543.69000000000005</v>
      </c>
      <c r="BO23" s="322">
        <v>1017.39</v>
      </c>
      <c r="BP23" s="322">
        <v>833.32</v>
      </c>
      <c r="BQ23" s="322">
        <v>1420.92</v>
      </c>
      <c r="BR23" s="325"/>
      <c r="BS23" s="325"/>
      <c r="BT23" s="325"/>
      <c r="BU23" s="325"/>
      <c r="BV23" s="325"/>
      <c r="BW23" s="325"/>
      <c r="BX23" s="325"/>
      <c r="BY23" s="325"/>
      <c r="BZ23" s="329">
        <v>-260</v>
      </c>
      <c r="CA23" s="322">
        <v>-585</v>
      </c>
      <c r="CB23" s="322">
        <v>-455</v>
      </c>
      <c r="CC23" s="322">
        <v>-671.67</v>
      </c>
      <c r="CD23" s="325"/>
      <c r="CE23" s="325"/>
      <c r="CF23" s="325"/>
      <c r="CG23" s="325"/>
      <c r="CH23" s="325"/>
      <c r="CI23" s="325"/>
      <c r="CJ23" s="325"/>
      <c r="CK23" s="325"/>
      <c r="CL23" s="323">
        <v>64126.22</v>
      </c>
      <c r="CM23" s="325"/>
      <c r="CN23" s="322">
        <f t="shared" si="4"/>
        <v>-27238.02</v>
      </c>
      <c r="CO23" s="323"/>
      <c r="CP23" s="323"/>
      <c r="CQ23" s="395"/>
      <c r="CR23" s="351"/>
      <c r="CS23" s="351"/>
      <c r="CT23" s="351"/>
      <c r="CU23" s="351"/>
      <c r="CV23" s="352"/>
      <c r="CW23" s="352"/>
      <c r="CX23" s="352"/>
      <c r="CY23" s="352"/>
    </row>
    <row r="24" spans="1:103" s="320" customFormat="1" ht="12" customHeight="1" x14ac:dyDescent="0.2">
      <c r="A24" s="322">
        <v>80000</v>
      </c>
      <c r="B24" s="321">
        <f t="shared" si="1"/>
        <v>42959</v>
      </c>
      <c r="C24" s="320">
        <v>60</v>
      </c>
      <c r="D24" s="320">
        <v>16</v>
      </c>
      <c r="E24" s="320">
        <v>8</v>
      </c>
      <c r="F24" s="320">
        <v>14</v>
      </c>
      <c r="G24" s="325"/>
      <c r="H24" s="325"/>
      <c r="I24" s="325"/>
      <c r="J24" s="325"/>
      <c r="K24" s="325"/>
      <c r="L24" s="325"/>
      <c r="M24" s="325"/>
      <c r="N24" s="325"/>
      <c r="O24" s="320">
        <f t="shared" si="0"/>
        <v>98</v>
      </c>
      <c r="P24" s="254">
        <v>167</v>
      </c>
      <c r="Q24" s="322">
        <f t="shared" si="2"/>
        <v>-272.3802</v>
      </c>
      <c r="R24" s="325"/>
      <c r="S24" s="325"/>
      <c r="T24" s="325"/>
      <c r="U24" s="325"/>
      <c r="V24" s="325"/>
      <c r="W24" s="325"/>
      <c r="X24" s="325"/>
      <c r="Y24" s="325"/>
      <c r="Z24" s="325"/>
      <c r="AA24" s="325"/>
      <c r="AB24" s="325"/>
      <c r="AC24" s="325"/>
      <c r="AD24" s="325"/>
      <c r="AE24" s="325"/>
      <c r="AF24" s="325"/>
      <c r="AG24" s="325"/>
      <c r="AH24" s="325"/>
      <c r="AI24" s="325"/>
      <c r="AJ24" s="325"/>
      <c r="AK24" s="325"/>
      <c r="AL24" s="325"/>
      <c r="AM24" s="325"/>
      <c r="AN24" s="325"/>
      <c r="AO24" s="325"/>
      <c r="AP24" s="325"/>
      <c r="AQ24" s="325"/>
      <c r="AR24" s="325"/>
      <c r="AS24" s="325"/>
      <c r="AT24" s="325"/>
      <c r="AU24" s="325"/>
      <c r="AV24" s="325"/>
      <c r="AW24" s="325"/>
      <c r="AX24" s="325"/>
      <c r="AY24" s="325"/>
      <c r="AZ24" s="325"/>
      <c r="BA24" s="325"/>
      <c r="BB24" s="325"/>
      <c r="BC24" s="325"/>
      <c r="BD24" s="325"/>
      <c r="BE24" s="325"/>
      <c r="BF24" s="325"/>
      <c r="BG24" s="325"/>
      <c r="BH24" s="325"/>
      <c r="BI24" s="325"/>
      <c r="BJ24" s="325"/>
      <c r="BK24" s="325"/>
      <c r="BL24" s="325"/>
      <c r="BM24" s="325"/>
      <c r="BN24" s="322">
        <v>543.69000000000005</v>
      </c>
      <c r="BO24" s="322">
        <v>1017.39</v>
      </c>
      <c r="BP24" s="322">
        <v>833.32</v>
      </c>
      <c r="BQ24" s="322">
        <v>1420.92</v>
      </c>
      <c r="BR24" s="325"/>
      <c r="BS24" s="325"/>
      <c r="BT24" s="325"/>
      <c r="BU24" s="325"/>
      <c r="BV24" s="325"/>
      <c r="BW24" s="325"/>
      <c r="BX24" s="325"/>
      <c r="BY24" s="325"/>
      <c r="BZ24" s="329">
        <v>-260</v>
      </c>
      <c r="CA24" s="322">
        <v>-585</v>
      </c>
      <c r="CB24" s="322">
        <v>-455</v>
      </c>
      <c r="CC24" s="322">
        <v>-671.67</v>
      </c>
      <c r="CD24" s="325"/>
      <c r="CE24" s="325"/>
      <c r="CF24" s="325"/>
      <c r="CG24" s="325"/>
      <c r="CH24" s="325"/>
      <c r="CI24" s="325"/>
      <c r="CJ24" s="325"/>
      <c r="CK24" s="325"/>
      <c r="CL24" s="323">
        <v>31327.45</v>
      </c>
      <c r="CM24" s="325"/>
      <c r="CN24" s="322">
        <f t="shared" si="4"/>
        <v>-27238.02</v>
      </c>
      <c r="CO24" s="323"/>
      <c r="CP24" s="323"/>
      <c r="CQ24" s="395"/>
      <c r="CR24" s="351"/>
      <c r="CS24" s="351"/>
      <c r="CT24" s="351"/>
      <c r="CU24" s="351"/>
      <c r="CV24" s="352"/>
      <c r="CW24" s="352"/>
      <c r="CX24" s="352"/>
      <c r="CY24" s="352"/>
    </row>
    <row r="25" spans="1:103" s="320" customFormat="1" ht="12" customHeight="1" x14ac:dyDescent="0.2">
      <c r="B25" s="321">
        <f t="shared" si="1"/>
        <v>42990</v>
      </c>
      <c r="C25" s="320">
        <v>58</v>
      </c>
      <c r="D25" s="320">
        <v>16</v>
      </c>
      <c r="E25" s="320">
        <v>8</v>
      </c>
      <c r="F25" s="320">
        <v>16</v>
      </c>
      <c r="G25" s="325"/>
      <c r="H25" s="325"/>
      <c r="I25" s="325"/>
      <c r="J25" s="325"/>
      <c r="K25" s="325"/>
      <c r="L25" s="325"/>
      <c r="M25" s="325"/>
      <c r="N25" s="325"/>
      <c r="O25" s="320">
        <f t="shared" si="0"/>
        <v>98</v>
      </c>
      <c r="P25" s="254">
        <v>172</v>
      </c>
      <c r="Q25" s="322">
        <f t="shared" si="2"/>
        <v>-275.13151515151515</v>
      </c>
      <c r="R25" s="325"/>
      <c r="S25" s="325"/>
      <c r="T25" s="325"/>
      <c r="U25" s="325"/>
      <c r="V25" s="325"/>
      <c r="W25" s="325"/>
      <c r="X25" s="325"/>
      <c r="Y25" s="325"/>
      <c r="Z25" s="325"/>
      <c r="AA25" s="325"/>
      <c r="AB25" s="325"/>
      <c r="AC25" s="325"/>
      <c r="AD25" s="325"/>
      <c r="AE25" s="325"/>
      <c r="AF25" s="325"/>
      <c r="AG25" s="325"/>
      <c r="AH25" s="325"/>
      <c r="AI25" s="325"/>
      <c r="AJ25" s="325"/>
      <c r="AK25" s="325"/>
      <c r="AL25" s="325"/>
      <c r="AM25" s="325"/>
      <c r="AN25" s="325"/>
      <c r="AO25" s="325"/>
      <c r="AP25" s="325"/>
      <c r="AQ25" s="325"/>
      <c r="AR25" s="325"/>
      <c r="AS25" s="325"/>
      <c r="AT25" s="325"/>
      <c r="AU25" s="325"/>
      <c r="AV25" s="325"/>
      <c r="AW25" s="325"/>
      <c r="AX25" s="325"/>
      <c r="AY25" s="325"/>
      <c r="AZ25" s="325"/>
      <c r="BA25" s="325"/>
      <c r="BB25" s="325"/>
      <c r="BC25" s="325"/>
      <c r="BD25" s="325"/>
      <c r="BE25" s="325"/>
      <c r="BF25" s="325"/>
      <c r="BG25" s="325"/>
      <c r="BH25" s="325"/>
      <c r="BI25" s="325"/>
      <c r="BJ25" s="325"/>
      <c r="BK25" s="325"/>
      <c r="BL25" s="325"/>
      <c r="BM25" s="325"/>
      <c r="BN25" s="322">
        <v>543.69000000000005</v>
      </c>
      <c r="BO25" s="322">
        <v>1017.39</v>
      </c>
      <c r="BP25" s="322">
        <v>833.32</v>
      </c>
      <c r="BQ25" s="322">
        <v>1420.92</v>
      </c>
      <c r="BR25" s="325"/>
      <c r="BS25" s="325"/>
      <c r="BT25" s="325"/>
      <c r="BU25" s="325"/>
      <c r="BV25" s="325"/>
      <c r="BW25" s="325"/>
      <c r="BX25" s="325"/>
      <c r="BY25" s="325"/>
      <c r="BZ25" s="329">
        <v>-260</v>
      </c>
      <c r="CA25" s="322">
        <v>-585</v>
      </c>
      <c r="CB25" s="322">
        <v>-455</v>
      </c>
      <c r="CC25" s="322">
        <v>-671.67</v>
      </c>
      <c r="CD25" s="325"/>
      <c r="CE25" s="325"/>
      <c r="CF25" s="325"/>
      <c r="CG25" s="325"/>
      <c r="CH25" s="325"/>
      <c r="CI25" s="325"/>
      <c r="CJ25" s="325"/>
      <c r="CK25" s="325"/>
      <c r="CL25" s="323">
        <v>47444.15</v>
      </c>
      <c r="CM25" s="325"/>
      <c r="CN25" s="322">
        <f t="shared" si="4"/>
        <v>-27238.02</v>
      </c>
      <c r="CO25" s="323"/>
      <c r="CP25" s="323"/>
      <c r="CQ25" s="395"/>
      <c r="CR25" s="351"/>
      <c r="CS25" s="351"/>
      <c r="CT25" s="351"/>
      <c r="CU25" s="351"/>
      <c r="CV25" s="352"/>
      <c r="CW25" s="352"/>
      <c r="CX25" s="352"/>
      <c r="CY25" s="352"/>
    </row>
    <row r="26" spans="1:103" s="320" customFormat="1" ht="12" customHeight="1" x14ac:dyDescent="0.2">
      <c r="A26" s="320" t="s">
        <v>175</v>
      </c>
      <c r="B26" s="321">
        <f t="shared" si="1"/>
        <v>43021</v>
      </c>
      <c r="C26" s="320">
        <v>58</v>
      </c>
      <c r="D26" s="320">
        <v>17</v>
      </c>
      <c r="E26" s="320">
        <v>8</v>
      </c>
      <c r="F26" s="320">
        <v>14</v>
      </c>
      <c r="G26" s="325"/>
      <c r="H26" s="325"/>
      <c r="I26" s="325"/>
      <c r="J26" s="325"/>
      <c r="K26" s="325"/>
      <c r="L26" s="325"/>
      <c r="M26" s="325"/>
      <c r="N26" s="325"/>
      <c r="O26" s="320">
        <f t="shared" si="0"/>
        <v>97</v>
      </c>
      <c r="P26" s="254">
        <v>167</v>
      </c>
      <c r="Q26" s="322">
        <f t="shared" si="2"/>
        <v>-277.93897959183676</v>
      </c>
      <c r="R26" s="325"/>
      <c r="S26" s="325"/>
      <c r="T26" s="325"/>
      <c r="U26" s="325"/>
      <c r="V26" s="325"/>
      <c r="W26" s="325"/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325"/>
      <c r="AJ26" s="325"/>
      <c r="AK26" s="325"/>
      <c r="AL26" s="325"/>
      <c r="AM26" s="325"/>
      <c r="AN26" s="325"/>
      <c r="AO26" s="325"/>
      <c r="AP26" s="325"/>
      <c r="AQ26" s="325"/>
      <c r="AR26" s="325"/>
      <c r="AS26" s="325"/>
      <c r="AT26" s="325"/>
      <c r="AU26" s="325"/>
      <c r="AV26" s="325"/>
      <c r="AW26" s="325"/>
      <c r="AX26" s="325"/>
      <c r="AY26" s="325"/>
      <c r="AZ26" s="325"/>
      <c r="BA26" s="325"/>
      <c r="BB26" s="325"/>
      <c r="BC26" s="325"/>
      <c r="BD26" s="325"/>
      <c r="BE26" s="325"/>
      <c r="BF26" s="325"/>
      <c r="BG26" s="325"/>
      <c r="BH26" s="325"/>
      <c r="BI26" s="325"/>
      <c r="BJ26" s="325"/>
      <c r="BK26" s="325"/>
      <c r="BL26" s="325"/>
      <c r="BM26" s="325"/>
      <c r="BN26" s="322">
        <v>543.69000000000005</v>
      </c>
      <c r="BO26" s="322">
        <v>1017.39</v>
      </c>
      <c r="BP26" s="322">
        <v>833.32</v>
      </c>
      <c r="BQ26" s="322">
        <v>1420.92</v>
      </c>
      <c r="BR26" s="325"/>
      <c r="BS26" s="325"/>
      <c r="BT26" s="325"/>
      <c r="BU26" s="325"/>
      <c r="BV26" s="325"/>
      <c r="BW26" s="325"/>
      <c r="BX26" s="325"/>
      <c r="BY26" s="325"/>
      <c r="BZ26" s="329">
        <v>-260</v>
      </c>
      <c r="CA26" s="322">
        <v>-585</v>
      </c>
      <c r="CB26" s="322">
        <v>-455</v>
      </c>
      <c r="CC26" s="322">
        <v>-671.67</v>
      </c>
      <c r="CD26" s="325"/>
      <c r="CE26" s="325"/>
      <c r="CF26" s="325"/>
      <c r="CG26" s="325"/>
      <c r="CH26" s="325"/>
      <c r="CI26" s="325"/>
      <c r="CJ26" s="325"/>
      <c r="CK26" s="325"/>
      <c r="CL26" s="323">
        <v>34671.81</v>
      </c>
      <c r="CM26" s="325"/>
      <c r="CN26" s="322">
        <f t="shared" si="4"/>
        <v>-27238.02</v>
      </c>
      <c r="CO26" s="323"/>
      <c r="CP26" s="323"/>
      <c r="CQ26" s="395"/>
      <c r="CR26" s="351"/>
      <c r="CS26" s="351"/>
      <c r="CT26" s="351"/>
      <c r="CU26" s="351"/>
      <c r="CV26" s="352"/>
      <c r="CW26" s="352"/>
      <c r="CX26" s="352"/>
      <c r="CY26" s="352"/>
    </row>
    <row r="27" spans="1:103" s="320" customFormat="1" ht="12" customHeight="1" x14ac:dyDescent="0.2">
      <c r="B27" s="321">
        <f t="shared" si="1"/>
        <v>43052</v>
      </c>
      <c r="C27" s="320">
        <v>60</v>
      </c>
      <c r="D27" s="320">
        <v>17</v>
      </c>
      <c r="E27" s="320">
        <v>7</v>
      </c>
      <c r="F27" s="320">
        <v>14</v>
      </c>
      <c r="G27" s="325"/>
      <c r="H27" s="325"/>
      <c r="I27" s="325"/>
      <c r="J27" s="325"/>
      <c r="K27" s="325"/>
      <c r="L27" s="325"/>
      <c r="M27" s="325"/>
      <c r="N27" s="325"/>
      <c r="O27" s="320">
        <f t="shared" si="0"/>
        <v>98</v>
      </c>
      <c r="P27" s="254">
        <v>167</v>
      </c>
      <c r="Q27" s="322">
        <f t="shared" si="2"/>
        <v>-277.93897959183676</v>
      </c>
      <c r="R27" s="325"/>
      <c r="S27" s="325"/>
      <c r="T27" s="325"/>
      <c r="U27" s="325"/>
      <c r="V27" s="325"/>
      <c r="W27" s="325"/>
      <c r="X27" s="325"/>
      <c r="Y27" s="325"/>
      <c r="Z27" s="325"/>
      <c r="AA27" s="325"/>
      <c r="AB27" s="325"/>
      <c r="AC27" s="325"/>
      <c r="AD27" s="325"/>
      <c r="AE27" s="325"/>
      <c r="AF27" s="325"/>
      <c r="AG27" s="325"/>
      <c r="AH27" s="325"/>
      <c r="AI27" s="325"/>
      <c r="AJ27" s="325"/>
      <c r="AK27" s="325"/>
      <c r="AL27" s="325"/>
      <c r="AM27" s="325"/>
      <c r="AN27" s="325"/>
      <c r="AO27" s="325"/>
      <c r="AP27" s="325"/>
      <c r="AQ27" s="325"/>
      <c r="AR27" s="325"/>
      <c r="AS27" s="325"/>
      <c r="AT27" s="325"/>
      <c r="AU27" s="325"/>
      <c r="AV27" s="325"/>
      <c r="AW27" s="325"/>
      <c r="AX27" s="325"/>
      <c r="AY27" s="325"/>
      <c r="AZ27" s="325"/>
      <c r="BA27" s="325"/>
      <c r="BB27" s="325"/>
      <c r="BC27" s="325"/>
      <c r="BD27" s="325"/>
      <c r="BE27" s="325"/>
      <c r="BF27" s="325"/>
      <c r="BG27" s="325"/>
      <c r="BH27" s="325"/>
      <c r="BI27" s="325"/>
      <c r="BJ27" s="325"/>
      <c r="BK27" s="325"/>
      <c r="BL27" s="325"/>
      <c r="BM27" s="325"/>
      <c r="BN27" s="322">
        <v>543.69000000000005</v>
      </c>
      <c r="BO27" s="322">
        <v>1017.39</v>
      </c>
      <c r="BP27" s="322">
        <v>833.32</v>
      </c>
      <c r="BQ27" s="322">
        <v>1420.92</v>
      </c>
      <c r="BR27" s="325"/>
      <c r="BS27" s="325"/>
      <c r="BT27" s="325"/>
      <c r="BU27" s="325"/>
      <c r="BV27" s="325"/>
      <c r="BW27" s="325"/>
      <c r="BX27" s="325"/>
      <c r="BY27" s="325"/>
      <c r="BZ27" s="329">
        <v>-260</v>
      </c>
      <c r="CA27" s="322">
        <v>-585</v>
      </c>
      <c r="CB27" s="322">
        <v>-455</v>
      </c>
      <c r="CC27" s="322">
        <v>-671.67</v>
      </c>
      <c r="CD27" s="325"/>
      <c r="CE27" s="325"/>
      <c r="CF27" s="325"/>
      <c r="CG27" s="325"/>
      <c r="CH27" s="325"/>
      <c r="CI27" s="325"/>
      <c r="CJ27" s="325"/>
      <c r="CK27" s="325"/>
      <c r="CL27" s="323">
        <v>42856.84</v>
      </c>
      <c r="CM27" s="325"/>
      <c r="CN27" s="322">
        <f t="shared" si="4"/>
        <v>-27238.02</v>
      </c>
      <c r="CO27" s="323"/>
      <c r="CP27" s="323"/>
      <c r="CQ27" s="395"/>
      <c r="CR27" s="351"/>
      <c r="CS27" s="351"/>
      <c r="CT27" s="351"/>
      <c r="CU27" s="351"/>
      <c r="CV27" s="352"/>
      <c r="CW27" s="352"/>
      <c r="CX27" s="352"/>
      <c r="CY27" s="352"/>
    </row>
    <row r="28" spans="1:103" s="320" customFormat="1" ht="12" customHeight="1" x14ac:dyDescent="0.2">
      <c r="B28" s="321">
        <f t="shared" si="1"/>
        <v>43083</v>
      </c>
      <c r="C28" s="320">
        <v>60</v>
      </c>
      <c r="D28" s="320">
        <v>17</v>
      </c>
      <c r="E28" s="320">
        <v>7</v>
      </c>
      <c r="F28" s="320">
        <v>14</v>
      </c>
      <c r="G28" s="325"/>
      <c r="H28" s="325"/>
      <c r="I28" s="325"/>
      <c r="J28" s="325"/>
      <c r="K28" s="325"/>
      <c r="L28" s="325"/>
      <c r="M28" s="325"/>
      <c r="N28" s="325"/>
      <c r="O28" s="320">
        <f t="shared" si="0"/>
        <v>98</v>
      </c>
      <c r="P28" s="254">
        <v>168</v>
      </c>
      <c r="Q28" s="322">
        <f t="shared" si="2"/>
        <v>-280.80432989690723</v>
      </c>
      <c r="R28" s="325"/>
      <c r="S28" s="325"/>
      <c r="T28" s="325"/>
      <c r="U28" s="325"/>
      <c r="V28" s="325"/>
      <c r="W28" s="325"/>
      <c r="X28" s="325"/>
      <c r="Y28" s="325"/>
      <c r="Z28" s="325"/>
      <c r="AA28" s="325"/>
      <c r="AB28" s="325"/>
      <c r="AC28" s="325"/>
      <c r="AD28" s="325"/>
      <c r="AE28" s="325"/>
      <c r="AF28" s="325"/>
      <c r="AG28" s="325"/>
      <c r="AH28" s="325"/>
      <c r="AI28" s="325"/>
      <c r="AJ28" s="325"/>
      <c r="AK28" s="325"/>
      <c r="AL28" s="325"/>
      <c r="AM28" s="325"/>
      <c r="AN28" s="325"/>
      <c r="AO28" s="325"/>
      <c r="AP28" s="325"/>
      <c r="AQ28" s="325"/>
      <c r="AR28" s="325"/>
      <c r="AS28" s="325"/>
      <c r="AT28" s="325"/>
      <c r="AU28" s="325"/>
      <c r="AV28" s="325"/>
      <c r="AW28" s="325"/>
      <c r="AX28" s="325"/>
      <c r="AY28" s="325"/>
      <c r="AZ28" s="325"/>
      <c r="BA28" s="325"/>
      <c r="BB28" s="325"/>
      <c r="BC28" s="325"/>
      <c r="BD28" s="325"/>
      <c r="BE28" s="325"/>
      <c r="BF28" s="325"/>
      <c r="BG28" s="325"/>
      <c r="BH28" s="325"/>
      <c r="BI28" s="325"/>
      <c r="BJ28" s="325"/>
      <c r="BK28" s="325"/>
      <c r="BL28" s="325"/>
      <c r="BM28" s="325"/>
      <c r="BN28" s="322">
        <v>543.69000000000005</v>
      </c>
      <c r="BO28" s="322">
        <v>1017.39</v>
      </c>
      <c r="BP28" s="322">
        <v>833.32</v>
      </c>
      <c r="BQ28" s="322">
        <v>1420.92</v>
      </c>
      <c r="BR28" s="325"/>
      <c r="BS28" s="325"/>
      <c r="BT28" s="325"/>
      <c r="BU28" s="325"/>
      <c r="BV28" s="325"/>
      <c r="BW28" s="325"/>
      <c r="BX28" s="325"/>
      <c r="BY28" s="325"/>
      <c r="BZ28" s="329">
        <v>-260</v>
      </c>
      <c r="CA28" s="322">
        <v>-585</v>
      </c>
      <c r="CB28" s="322">
        <v>-455</v>
      </c>
      <c r="CC28" s="322">
        <v>-671.67</v>
      </c>
      <c r="CD28" s="325"/>
      <c r="CE28" s="325"/>
      <c r="CF28" s="325"/>
      <c r="CG28" s="325"/>
      <c r="CH28" s="325"/>
      <c r="CI28" s="325"/>
      <c r="CJ28" s="325"/>
      <c r="CK28" s="325"/>
      <c r="CL28" s="323">
        <v>57966.26</v>
      </c>
      <c r="CM28" s="325"/>
      <c r="CN28" s="322">
        <f t="shared" si="4"/>
        <v>-27238.02</v>
      </c>
      <c r="CO28" s="323"/>
      <c r="CP28" s="323"/>
      <c r="CQ28" s="395"/>
      <c r="CR28" s="351"/>
      <c r="CS28" s="351"/>
      <c r="CT28" s="351"/>
      <c r="CU28" s="351"/>
      <c r="CV28" s="352"/>
      <c r="CW28" s="352"/>
      <c r="CX28" s="352"/>
      <c r="CY28" s="352"/>
    </row>
    <row r="29" spans="1:103" s="337" customFormat="1" ht="12" customHeight="1" x14ac:dyDescent="0.2">
      <c r="A29" s="337" t="s">
        <v>171</v>
      </c>
      <c r="B29" s="338">
        <f t="shared" si="1"/>
        <v>43114</v>
      </c>
      <c r="C29" s="337">
        <v>60</v>
      </c>
      <c r="D29" s="337">
        <v>18</v>
      </c>
      <c r="E29" s="337">
        <v>6</v>
      </c>
      <c r="F29" s="337">
        <v>15</v>
      </c>
      <c r="G29" s="339"/>
      <c r="H29" s="339"/>
      <c r="I29" s="339"/>
      <c r="J29" s="339"/>
      <c r="K29" s="339"/>
      <c r="L29" s="339"/>
      <c r="M29" s="339"/>
      <c r="N29" s="339"/>
      <c r="O29" s="337">
        <f t="shared" si="0"/>
        <v>99</v>
      </c>
      <c r="P29" s="340">
        <v>174</v>
      </c>
      <c r="Q29" s="341">
        <f t="shared" si="2"/>
        <v>-33.870289115646258</v>
      </c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9"/>
      <c r="AD29" s="339"/>
      <c r="AE29" s="339"/>
      <c r="AF29" s="339"/>
      <c r="AG29" s="339"/>
      <c r="AH29" s="339"/>
      <c r="AI29" s="339"/>
      <c r="AJ29" s="339"/>
      <c r="AK29" s="339"/>
      <c r="AL29" s="339"/>
      <c r="AM29" s="339"/>
      <c r="AN29" s="339"/>
      <c r="AO29" s="339"/>
      <c r="AP29" s="339"/>
      <c r="AQ29" s="339"/>
      <c r="AR29" s="339"/>
      <c r="AS29" s="339"/>
      <c r="AT29" s="339"/>
      <c r="AU29" s="339"/>
      <c r="AV29" s="339"/>
      <c r="AW29" s="339"/>
      <c r="AX29" s="339"/>
      <c r="AY29" s="339"/>
      <c r="AZ29" s="339"/>
      <c r="BA29" s="339"/>
      <c r="BB29" s="339"/>
      <c r="BC29" s="339"/>
      <c r="BD29" s="339"/>
      <c r="BE29" s="339"/>
      <c r="BF29" s="339"/>
      <c r="BG29" s="339"/>
      <c r="BH29" s="339"/>
      <c r="BI29" s="339"/>
      <c r="BJ29" s="339"/>
      <c r="BK29" s="339"/>
      <c r="BL29" s="339"/>
      <c r="BM29" s="339"/>
      <c r="BN29" s="341">
        <v>592.07000000000005</v>
      </c>
      <c r="BO29" s="341">
        <v>1107.78</v>
      </c>
      <c r="BP29" s="341">
        <v>923.22</v>
      </c>
      <c r="BQ29" s="341">
        <v>1561.18</v>
      </c>
      <c r="BR29" s="339"/>
      <c r="BS29" s="339"/>
      <c r="BT29" s="339"/>
      <c r="BU29" s="339"/>
      <c r="BV29" s="339"/>
      <c r="BW29" s="339"/>
      <c r="BX29" s="339"/>
      <c r="BY29" s="339"/>
      <c r="BZ29" s="342">
        <v>-260</v>
      </c>
      <c r="CA29" s="341">
        <v>-585</v>
      </c>
      <c r="CB29" s="341">
        <v>-455</v>
      </c>
      <c r="CC29" s="341">
        <v>-671.67</v>
      </c>
      <c r="CD29" s="339"/>
      <c r="CE29" s="339"/>
      <c r="CF29" s="339"/>
      <c r="CG29" s="339"/>
      <c r="CH29" s="339"/>
      <c r="CI29" s="339"/>
      <c r="CJ29" s="339"/>
      <c r="CK29" s="339"/>
      <c r="CL29" s="343">
        <v>203722.44</v>
      </c>
      <c r="CM29" s="339"/>
      <c r="CN29" s="341">
        <f>-39831.46/12</f>
        <v>-3319.2883333333334</v>
      </c>
      <c r="CO29" s="343">
        <v>7382.31</v>
      </c>
      <c r="CP29" s="343">
        <v>0</v>
      </c>
      <c r="CQ29" s="343">
        <v>1523.6</v>
      </c>
      <c r="CR29" s="355"/>
      <c r="CS29" s="355"/>
      <c r="CT29" s="356"/>
      <c r="CU29" s="356"/>
      <c r="CV29" s="354"/>
      <c r="CW29" s="354"/>
      <c r="CX29" s="354"/>
      <c r="CY29" s="354"/>
    </row>
    <row r="30" spans="1:103" s="320" customFormat="1" ht="12" customHeight="1" x14ac:dyDescent="0.2">
      <c r="A30" s="320" t="s">
        <v>172</v>
      </c>
      <c r="B30" s="321">
        <f t="shared" si="1"/>
        <v>43145</v>
      </c>
      <c r="C30" s="320">
        <v>57</v>
      </c>
      <c r="D30" s="320">
        <v>18</v>
      </c>
      <c r="E30" s="320">
        <v>5</v>
      </c>
      <c r="F30" s="320">
        <v>14</v>
      </c>
      <c r="G30" s="325"/>
      <c r="H30" s="325"/>
      <c r="I30" s="325"/>
      <c r="J30" s="325"/>
      <c r="K30" s="325"/>
      <c r="L30" s="325"/>
      <c r="M30" s="325"/>
      <c r="N30" s="325"/>
      <c r="O30" s="320">
        <f t="shared" si="0"/>
        <v>94</v>
      </c>
      <c r="P30" s="254">
        <v>164</v>
      </c>
      <c r="Q30" s="322">
        <f t="shared" si="2"/>
        <v>-33.870289115646258</v>
      </c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325"/>
      <c r="AC30" s="325"/>
      <c r="AD30" s="325"/>
      <c r="AE30" s="325"/>
      <c r="AF30" s="325"/>
      <c r="AG30" s="325"/>
      <c r="AH30" s="325"/>
      <c r="AI30" s="325"/>
      <c r="AJ30" s="325"/>
      <c r="AK30" s="325"/>
      <c r="AL30" s="325"/>
      <c r="AM30" s="325"/>
      <c r="AN30" s="325"/>
      <c r="AO30" s="325"/>
      <c r="AP30" s="325"/>
      <c r="AQ30" s="325"/>
      <c r="AR30" s="325"/>
      <c r="AS30" s="325"/>
      <c r="AT30" s="325"/>
      <c r="AU30" s="325"/>
      <c r="AV30" s="325"/>
      <c r="AW30" s="325"/>
      <c r="AX30" s="325"/>
      <c r="AY30" s="325"/>
      <c r="AZ30" s="325"/>
      <c r="BA30" s="325"/>
      <c r="BB30" s="325"/>
      <c r="BC30" s="325"/>
      <c r="BD30" s="325"/>
      <c r="BE30" s="325"/>
      <c r="BF30" s="325"/>
      <c r="BG30" s="325"/>
      <c r="BH30" s="325"/>
      <c r="BI30" s="325"/>
      <c r="BJ30" s="325"/>
      <c r="BK30" s="325"/>
      <c r="BL30" s="325"/>
      <c r="BM30" s="325"/>
      <c r="BN30" s="322">
        <v>592.07000000000005</v>
      </c>
      <c r="BO30" s="322">
        <v>1107.78</v>
      </c>
      <c r="BP30" s="322">
        <v>923.22</v>
      </c>
      <c r="BQ30" s="322">
        <v>1561.18</v>
      </c>
      <c r="BR30" s="325"/>
      <c r="BS30" s="325"/>
      <c r="BT30" s="325"/>
      <c r="BU30" s="325"/>
      <c r="BV30" s="325"/>
      <c r="BW30" s="325"/>
      <c r="BX30" s="325"/>
      <c r="BY30" s="325"/>
      <c r="BZ30" s="329">
        <v>-260</v>
      </c>
      <c r="CA30" s="322">
        <v>-585</v>
      </c>
      <c r="CB30" s="322">
        <v>-455</v>
      </c>
      <c r="CC30" s="322">
        <v>-671.67</v>
      </c>
      <c r="CD30" s="325"/>
      <c r="CE30" s="325"/>
      <c r="CF30" s="325"/>
      <c r="CG30" s="325"/>
      <c r="CH30" s="325"/>
      <c r="CI30" s="325"/>
      <c r="CJ30" s="325"/>
      <c r="CK30" s="325"/>
      <c r="CL30" s="323">
        <v>57922.14</v>
      </c>
      <c r="CM30" s="325"/>
      <c r="CN30" s="322">
        <f>CN29</f>
        <v>-3319.2883333333334</v>
      </c>
      <c r="CO30" s="323">
        <v>5908.6599999999989</v>
      </c>
      <c r="CP30" s="323">
        <v>0</v>
      </c>
      <c r="CQ30" s="323">
        <v>3080.08</v>
      </c>
      <c r="CR30" s="357"/>
      <c r="CS30" s="357"/>
      <c r="CT30" s="358"/>
      <c r="CU30" s="358"/>
      <c r="CV30" s="352"/>
      <c r="CW30" s="352"/>
      <c r="CX30" s="352"/>
      <c r="CY30" s="352"/>
    </row>
    <row r="31" spans="1:103" s="320" customFormat="1" ht="12" customHeight="1" x14ac:dyDescent="0.2">
      <c r="B31" s="321">
        <f t="shared" si="1"/>
        <v>43176</v>
      </c>
      <c r="C31" s="320">
        <v>55</v>
      </c>
      <c r="D31" s="320">
        <v>17</v>
      </c>
      <c r="E31" s="320">
        <v>5</v>
      </c>
      <c r="F31" s="320">
        <v>14</v>
      </c>
      <c r="G31" s="325"/>
      <c r="H31" s="325"/>
      <c r="I31" s="325"/>
      <c r="J31" s="325"/>
      <c r="K31" s="325"/>
      <c r="L31" s="325"/>
      <c r="M31" s="325"/>
      <c r="N31" s="325"/>
      <c r="O31" s="320">
        <f t="shared" si="0"/>
        <v>91</v>
      </c>
      <c r="P31" s="254">
        <v>160</v>
      </c>
      <c r="Q31" s="322">
        <f t="shared" si="2"/>
        <v>-33.528164983164984</v>
      </c>
      <c r="R31" s="325"/>
      <c r="S31" s="325"/>
      <c r="T31" s="325"/>
      <c r="U31" s="325"/>
      <c r="V31" s="325"/>
      <c r="W31" s="325"/>
      <c r="X31" s="325"/>
      <c r="Y31" s="325"/>
      <c r="Z31" s="325"/>
      <c r="AA31" s="325"/>
      <c r="AB31" s="325"/>
      <c r="AC31" s="325"/>
      <c r="AD31" s="325"/>
      <c r="AE31" s="325"/>
      <c r="AF31" s="325"/>
      <c r="AG31" s="325"/>
      <c r="AH31" s="325"/>
      <c r="AI31" s="325"/>
      <c r="AJ31" s="325"/>
      <c r="AK31" s="325"/>
      <c r="AL31" s="325"/>
      <c r="AM31" s="325"/>
      <c r="AN31" s="325"/>
      <c r="AO31" s="325"/>
      <c r="AP31" s="325"/>
      <c r="AQ31" s="325"/>
      <c r="AR31" s="325"/>
      <c r="AS31" s="325"/>
      <c r="AT31" s="325"/>
      <c r="AU31" s="325"/>
      <c r="AV31" s="325"/>
      <c r="AW31" s="325"/>
      <c r="AX31" s="325"/>
      <c r="AY31" s="325"/>
      <c r="AZ31" s="325"/>
      <c r="BA31" s="325"/>
      <c r="BB31" s="325"/>
      <c r="BC31" s="325"/>
      <c r="BD31" s="325"/>
      <c r="BE31" s="325"/>
      <c r="BF31" s="325"/>
      <c r="BG31" s="325"/>
      <c r="BH31" s="325"/>
      <c r="BI31" s="325"/>
      <c r="BJ31" s="325"/>
      <c r="BK31" s="325"/>
      <c r="BL31" s="325"/>
      <c r="BM31" s="325"/>
      <c r="BN31" s="322">
        <v>592.07000000000005</v>
      </c>
      <c r="BO31" s="322">
        <v>1107.78</v>
      </c>
      <c r="BP31" s="322">
        <v>923.22</v>
      </c>
      <c r="BQ31" s="322">
        <v>1561.18</v>
      </c>
      <c r="BR31" s="325"/>
      <c r="BS31" s="325"/>
      <c r="BT31" s="325"/>
      <c r="BU31" s="325"/>
      <c r="BV31" s="325"/>
      <c r="BW31" s="325"/>
      <c r="BX31" s="325"/>
      <c r="BY31" s="325"/>
      <c r="BZ31" s="329">
        <v>-260</v>
      </c>
      <c r="CA31" s="322">
        <v>-585</v>
      </c>
      <c r="CB31" s="322">
        <v>-455</v>
      </c>
      <c r="CC31" s="322">
        <v>-671.67</v>
      </c>
      <c r="CD31" s="325"/>
      <c r="CE31" s="325"/>
      <c r="CF31" s="325"/>
      <c r="CG31" s="325"/>
      <c r="CH31" s="325"/>
      <c r="CI31" s="325"/>
      <c r="CJ31" s="325"/>
      <c r="CK31" s="325"/>
      <c r="CL31" s="323">
        <v>491888.2</v>
      </c>
      <c r="CM31" s="325"/>
      <c r="CN31" s="322">
        <f t="shared" ref="CN31:CN40" si="5">CN30</f>
        <v>-3319.2883333333334</v>
      </c>
      <c r="CO31" s="323">
        <v>6986.5999999999995</v>
      </c>
      <c r="CP31" s="323">
        <v>0</v>
      </c>
      <c r="CQ31" s="323">
        <v>1400</v>
      </c>
      <c r="CR31" s="357"/>
      <c r="CS31" s="357"/>
      <c r="CT31" s="358"/>
      <c r="CU31" s="358"/>
      <c r="CV31" s="352"/>
      <c r="CW31" s="352"/>
      <c r="CX31" s="352"/>
      <c r="CY31" s="352"/>
    </row>
    <row r="32" spans="1:103" s="320" customFormat="1" ht="12" customHeight="1" x14ac:dyDescent="0.2">
      <c r="A32" s="320" t="s">
        <v>173</v>
      </c>
      <c r="B32" s="321">
        <f t="shared" si="1"/>
        <v>43207</v>
      </c>
      <c r="C32" s="320">
        <v>59</v>
      </c>
      <c r="D32" s="320">
        <v>18</v>
      </c>
      <c r="E32" s="320">
        <v>5</v>
      </c>
      <c r="F32" s="320">
        <v>13</v>
      </c>
      <c r="G32" s="325"/>
      <c r="H32" s="325"/>
      <c r="I32" s="325"/>
      <c r="J32" s="325"/>
      <c r="K32" s="325"/>
      <c r="L32" s="325"/>
      <c r="M32" s="325"/>
      <c r="N32" s="325"/>
      <c r="O32" s="320">
        <f t="shared" si="0"/>
        <v>95</v>
      </c>
      <c r="P32" s="254">
        <v>163</v>
      </c>
      <c r="Q32" s="322">
        <f t="shared" si="2"/>
        <v>-35.311578014184398</v>
      </c>
      <c r="R32" s="325"/>
      <c r="S32" s="325"/>
      <c r="T32" s="325"/>
      <c r="U32" s="325"/>
      <c r="V32" s="325"/>
      <c r="W32" s="325"/>
      <c r="X32" s="325"/>
      <c r="Y32" s="325"/>
      <c r="Z32" s="325"/>
      <c r="AA32" s="325"/>
      <c r="AB32" s="325"/>
      <c r="AC32" s="325"/>
      <c r="AD32" s="325"/>
      <c r="AE32" s="325"/>
      <c r="AF32" s="325"/>
      <c r="AG32" s="325"/>
      <c r="AH32" s="325"/>
      <c r="AI32" s="325"/>
      <c r="AJ32" s="325"/>
      <c r="AK32" s="325"/>
      <c r="AL32" s="325"/>
      <c r="AM32" s="325"/>
      <c r="AN32" s="325"/>
      <c r="AO32" s="325"/>
      <c r="AP32" s="325"/>
      <c r="AQ32" s="325"/>
      <c r="AR32" s="325"/>
      <c r="AS32" s="325"/>
      <c r="AT32" s="325"/>
      <c r="AU32" s="325"/>
      <c r="AV32" s="325"/>
      <c r="AW32" s="325"/>
      <c r="AX32" s="325"/>
      <c r="AY32" s="325"/>
      <c r="AZ32" s="325"/>
      <c r="BA32" s="325"/>
      <c r="BB32" s="325"/>
      <c r="BC32" s="325"/>
      <c r="BD32" s="325"/>
      <c r="BE32" s="325"/>
      <c r="BF32" s="325"/>
      <c r="BG32" s="325"/>
      <c r="BH32" s="325"/>
      <c r="BI32" s="325"/>
      <c r="BJ32" s="325"/>
      <c r="BK32" s="325"/>
      <c r="BL32" s="325"/>
      <c r="BM32" s="325"/>
      <c r="BN32" s="322">
        <v>592.07000000000005</v>
      </c>
      <c r="BO32" s="322">
        <v>1107.78</v>
      </c>
      <c r="BP32" s="322">
        <v>923.22</v>
      </c>
      <c r="BQ32" s="322">
        <v>1561.18</v>
      </c>
      <c r="BR32" s="325"/>
      <c r="BS32" s="325"/>
      <c r="BT32" s="325"/>
      <c r="BU32" s="325"/>
      <c r="BV32" s="325"/>
      <c r="BW32" s="325"/>
      <c r="BX32" s="325"/>
      <c r="BY32" s="325"/>
      <c r="BZ32" s="329">
        <v>-260</v>
      </c>
      <c r="CA32" s="322">
        <v>-585</v>
      </c>
      <c r="CB32" s="322">
        <v>-455</v>
      </c>
      <c r="CC32" s="322">
        <v>-671.67</v>
      </c>
      <c r="CD32" s="325"/>
      <c r="CE32" s="325"/>
      <c r="CF32" s="325"/>
      <c r="CG32" s="325"/>
      <c r="CH32" s="325"/>
      <c r="CI32" s="325"/>
      <c r="CJ32" s="325"/>
      <c r="CK32" s="325"/>
      <c r="CL32" s="323">
        <v>51278.45</v>
      </c>
      <c r="CM32" s="325"/>
      <c r="CN32" s="322">
        <f t="shared" si="5"/>
        <v>-3319.2883333333334</v>
      </c>
      <c r="CO32" s="323">
        <v>4203.8</v>
      </c>
      <c r="CP32" s="323">
        <v>0</v>
      </c>
      <c r="CQ32" s="323">
        <v>3617.6</v>
      </c>
      <c r="CR32" s="357"/>
      <c r="CS32" s="357"/>
      <c r="CT32" s="358"/>
      <c r="CU32" s="358"/>
      <c r="CV32" s="352"/>
      <c r="CW32" s="352"/>
      <c r="CX32" s="352"/>
      <c r="CY32" s="352"/>
    </row>
    <row r="33" spans="1:103" s="320" customFormat="1" ht="12" customHeight="1" x14ac:dyDescent="0.2">
      <c r="A33" s="320" t="s">
        <v>174</v>
      </c>
      <c r="B33" s="321">
        <f t="shared" si="1"/>
        <v>43238</v>
      </c>
      <c r="C33" s="320">
        <v>65</v>
      </c>
      <c r="D33" s="320">
        <v>17</v>
      </c>
      <c r="E33" s="320">
        <v>5</v>
      </c>
      <c r="F33" s="320">
        <v>12</v>
      </c>
      <c r="G33" s="325"/>
      <c r="H33" s="325"/>
      <c r="I33" s="325"/>
      <c r="J33" s="325"/>
      <c r="K33" s="325"/>
      <c r="L33" s="325"/>
      <c r="M33" s="325"/>
      <c r="N33" s="325"/>
      <c r="O33" s="320">
        <f t="shared" si="0"/>
        <v>99</v>
      </c>
      <c r="P33" s="254">
        <v>163</v>
      </c>
      <c r="Q33" s="322">
        <f t="shared" si="2"/>
        <v>-36.475695970695973</v>
      </c>
      <c r="R33" s="325"/>
      <c r="S33" s="325"/>
      <c r="T33" s="325"/>
      <c r="U33" s="325"/>
      <c r="V33" s="325"/>
      <c r="W33" s="325"/>
      <c r="X33" s="325"/>
      <c r="Y33" s="325"/>
      <c r="Z33" s="325"/>
      <c r="AA33" s="325"/>
      <c r="AB33" s="325"/>
      <c r="AC33" s="325"/>
      <c r="AD33" s="325"/>
      <c r="AE33" s="325"/>
      <c r="AF33" s="325"/>
      <c r="AG33" s="325"/>
      <c r="AH33" s="325"/>
      <c r="AI33" s="325"/>
      <c r="AJ33" s="325"/>
      <c r="AK33" s="325"/>
      <c r="AL33" s="325"/>
      <c r="AM33" s="325"/>
      <c r="AN33" s="325"/>
      <c r="AO33" s="325"/>
      <c r="AP33" s="325"/>
      <c r="AQ33" s="325"/>
      <c r="AR33" s="325"/>
      <c r="AS33" s="325"/>
      <c r="AT33" s="325"/>
      <c r="AU33" s="325"/>
      <c r="AV33" s="325"/>
      <c r="AW33" s="325"/>
      <c r="AX33" s="325"/>
      <c r="AY33" s="325"/>
      <c r="AZ33" s="325"/>
      <c r="BA33" s="325"/>
      <c r="BB33" s="325"/>
      <c r="BC33" s="325"/>
      <c r="BD33" s="325"/>
      <c r="BE33" s="325"/>
      <c r="BF33" s="325"/>
      <c r="BG33" s="325"/>
      <c r="BH33" s="325"/>
      <c r="BI33" s="325"/>
      <c r="BJ33" s="325"/>
      <c r="BK33" s="325"/>
      <c r="BL33" s="325"/>
      <c r="BM33" s="325"/>
      <c r="BN33" s="322">
        <v>592.07000000000005</v>
      </c>
      <c r="BO33" s="322">
        <v>1107.78</v>
      </c>
      <c r="BP33" s="322">
        <v>923.22</v>
      </c>
      <c r="BQ33" s="322">
        <v>1561.18</v>
      </c>
      <c r="BR33" s="325"/>
      <c r="BS33" s="325"/>
      <c r="BT33" s="325"/>
      <c r="BU33" s="325"/>
      <c r="BV33" s="325"/>
      <c r="BW33" s="325"/>
      <c r="BX33" s="325"/>
      <c r="BY33" s="325"/>
      <c r="BZ33" s="329">
        <v>-260</v>
      </c>
      <c r="CA33" s="322">
        <v>-585</v>
      </c>
      <c r="CB33" s="322">
        <v>-455</v>
      </c>
      <c r="CC33" s="322">
        <v>-671.67</v>
      </c>
      <c r="CD33" s="325"/>
      <c r="CE33" s="325"/>
      <c r="CF33" s="325"/>
      <c r="CG33" s="325"/>
      <c r="CH33" s="325"/>
      <c r="CI33" s="325"/>
      <c r="CJ33" s="325"/>
      <c r="CK33" s="325"/>
      <c r="CL33" s="323">
        <v>147380.68</v>
      </c>
      <c r="CM33" s="325"/>
      <c r="CN33" s="322">
        <f t="shared" si="5"/>
        <v>-3319.2883333333334</v>
      </c>
      <c r="CO33" s="323">
        <v>9760.130000000001</v>
      </c>
      <c r="CP33" s="323">
        <v>6078.44</v>
      </c>
      <c r="CQ33" s="323">
        <v>945.8</v>
      </c>
      <c r="CR33" s="357"/>
      <c r="CS33" s="357"/>
      <c r="CT33" s="358"/>
      <c r="CU33" s="358"/>
      <c r="CV33" s="352"/>
      <c r="CW33" s="352"/>
      <c r="CX33" s="352"/>
      <c r="CY33" s="352"/>
    </row>
    <row r="34" spans="1:103" s="320" customFormat="1" ht="12" customHeight="1" x14ac:dyDescent="0.2">
      <c r="B34" s="321">
        <f t="shared" si="1"/>
        <v>43269</v>
      </c>
      <c r="C34" s="320">
        <v>65</v>
      </c>
      <c r="D34" s="320">
        <v>17</v>
      </c>
      <c r="E34" s="320">
        <v>4</v>
      </c>
      <c r="F34" s="320">
        <v>12</v>
      </c>
      <c r="G34" s="325"/>
      <c r="H34" s="325"/>
      <c r="I34" s="325"/>
      <c r="J34" s="325"/>
      <c r="K34" s="325"/>
      <c r="L34" s="325"/>
      <c r="M34" s="325"/>
      <c r="N34" s="325"/>
      <c r="O34" s="320">
        <f t="shared" si="0"/>
        <v>98</v>
      </c>
      <c r="P34" s="254">
        <v>160</v>
      </c>
      <c r="Q34" s="322">
        <f t="shared" si="2"/>
        <v>-34.939877192982458</v>
      </c>
      <c r="R34" s="325"/>
      <c r="S34" s="325"/>
      <c r="T34" s="325"/>
      <c r="U34" s="325"/>
      <c r="V34" s="325"/>
      <c r="W34" s="325"/>
      <c r="X34" s="325"/>
      <c r="Y34" s="325"/>
      <c r="Z34" s="325"/>
      <c r="AA34" s="325"/>
      <c r="AB34" s="325"/>
      <c r="AC34" s="325"/>
      <c r="AD34" s="325"/>
      <c r="AE34" s="325"/>
      <c r="AF34" s="325"/>
      <c r="AG34" s="325"/>
      <c r="AH34" s="325"/>
      <c r="AI34" s="325"/>
      <c r="AJ34" s="325"/>
      <c r="AK34" s="325"/>
      <c r="AL34" s="325"/>
      <c r="AM34" s="325"/>
      <c r="AN34" s="325"/>
      <c r="AO34" s="325"/>
      <c r="AP34" s="325"/>
      <c r="AQ34" s="325"/>
      <c r="AR34" s="325"/>
      <c r="AS34" s="325"/>
      <c r="AT34" s="325"/>
      <c r="AU34" s="325"/>
      <c r="AV34" s="325"/>
      <c r="AW34" s="325"/>
      <c r="AX34" s="325"/>
      <c r="AY34" s="325"/>
      <c r="AZ34" s="325"/>
      <c r="BA34" s="325"/>
      <c r="BB34" s="325"/>
      <c r="BC34" s="325"/>
      <c r="BD34" s="325"/>
      <c r="BE34" s="325"/>
      <c r="BF34" s="325"/>
      <c r="BG34" s="325"/>
      <c r="BH34" s="325"/>
      <c r="BI34" s="325"/>
      <c r="BJ34" s="325"/>
      <c r="BK34" s="325"/>
      <c r="BL34" s="325"/>
      <c r="BM34" s="325"/>
      <c r="BN34" s="322">
        <v>592.07000000000005</v>
      </c>
      <c r="BO34" s="322">
        <v>1107.78</v>
      </c>
      <c r="BP34" s="322">
        <v>923.22</v>
      </c>
      <c r="BQ34" s="322">
        <v>1561.18</v>
      </c>
      <c r="BR34" s="325"/>
      <c r="BS34" s="325"/>
      <c r="BT34" s="325"/>
      <c r="BU34" s="325"/>
      <c r="BV34" s="325"/>
      <c r="BW34" s="325"/>
      <c r="BX34" s="325"/>
      <c r="BY34" s="325"/>
      <c r="BZ34" s="329">
        <v>-260</v>
      </c>
      <c r="CA34" s="322">
        <v>-585</v>
      </c>
      <c r="CB34" s="322">
        <v>-455</v>
      </c>
      <c r="CC34" s="322">
        <v>-671.67</v>
      </c>
      <c r="CD34" s="325"/>
      <c r="CE34" s="325"/>
      <c r="CF34" s="325"/>
      <c r="CG34" s="325"/>
      <c r="CH34" s="325"/>
      <c r="CI34" s="325"/>
      <c r="CJ34" s="325"/>
      <c r="CK34" s="325"/>
      <c r="CL34" s="323">
        <v>59871.4</v>
      </c>
      <c r="CM34" s="325"/>
      <c r="CN34" s="322">
        <f t="shared" si="5"/>
        <v>-3319.2883333333334</v>
      </c>
      <c r="CO34" s="323">
        <v>4645.5599999999986</v>
      </c>
      <c r="CP34" s="323">
        <v>2469.46</v>
      </c>
      <c r="CQ34" s="323">
        <v>1942.4</v>
      </c>
      <c r="CR34" s="357"/>
      <c r="CS34" s="357"/>
      <c r="CT34" s="358"/>
      <c r="CU34" s="358"/>
      <c r="CV34" s="352"/>
      <c r="CW34" s="352"/>
      <c r="CX34" s="352"/>
      <c r="CY34" s="352"/>
    </row>
    <row r="35" spans="1:103" s="320" customFormat="1" ht="12" customHeight="1" x14ac:dyDescent="0.2">
      <c r="A35" s="320" t="s">
        <v>166</v>
      </c>
      <c r="B35" s="321">
        <f t="shared" si="1"/>
        <v>43300</v>
      </c>
      <c r="C35" s="320">
        <v>65</v>
      </c>
      <c r="D35" s="320">
        <v>19</v>
      </c>
      <c r="E35" s="320">
        <v>4</v>
      </c>
      <c r="F35" s="320">
        <v>12</v>
      </c>
      <c r="G35" s="325"/>
      <c r="H35" s="325"/>
      <c r="I35" s="325"/>
      <c r="J35" s="325"/>
      <c r="K35" s="325"/>
      <c r="L35" s="325"/>
      <c r="M35" s="325"/>
      <c r="N35" s="325"/>
      <c r="O35" s="320">
        <f t="shared" si="0"/>
        <v>100</v>
      </c>
      <c r="P35" s="254">
        <v>164</v>
      </c>
      <c r="Q35" s="322">
        <f t="shared" si="2"/>
        <v>-33.528164983164984</v>
      </c>
      <c r="R35" s="325"/>
      <c r="S35" s="325"/>
      <c r="T35" s="325"/>
      <c r="U35" s="325"/>
      <c r="V35" s="325"/>
      <c r="W35" s="325"/>
      <c r="X35" s="325"/>
      <c r="Y35" s="325"/>
      <c r="Z35" s="325"/>
      <c r="AA35" s="325"/>
      <c r="AB35" s="325"/>
      <c r="AC35" s="325"/>
      <c r="AD35" s="325"/>
      <c r="AE35" s="325"/>
      <c r="AF35" s="325"/>
      <c r="AG35" s="325"/>
      <c r="AH35" s="325"/>
      <c r="AI35" s="325"/>
      <c r="AJ35" s="325"/>
      <c r="AK35" s="325"/>
      <c r="AL35" s="325"/>
      <c r="AM35" s="325"/>
      <c r="AN35" s="325"/>
      <c r="AO35" s="325"/>
      <c r="AP35" s="325"/>
      <c r="AQ35" s="325"/>
      <c r="AR35" s="325"/>
      <c r="AS35" s="325"/>
      <c r="AT35" s="325"/>
      <c r="AU35" s="325"/>
      <c r="AV35" s="325"/>
      <c r="AW35" s="325"/>
      <c r="AX35" s="325"/>
      <c r="AY35" s="325"/>
      <c r="AZ35" s="325"/>
      <c r="BA35" s="325"/>
      <c r="BB35" s="325"/>
      <c r="BC35" s="325"/>
      <c r="BD35" s="325"/>
      <c r="BE35" s="325"/>
      <c r="BF35" s="325"/>
      <c r="BG35" s="325"/>
      <c r="BH35" s="325"/>
      <c r="BI35" s="325"/>
      <c r="BJ35" s="325"/>
      <c r="BK35" s="325"/>
      <c r="BL35" s="325"/>
      <c r="BM35" s="325"/>
      <c r="BN35" s="322">
        <v>592.07000000000005</v>
      </c>
      <c r="BO35" s="322">
        <v>1107.78</v>
      </c>
      <c r="BP35" s="322">
        <v>923.22</v>
      </c>
      <c r="BQ35" s="322">
        <v>1561.18</v>
      </c>
      <c r="BR35" s="325"/>
      <c r="BS35" s="325"/>
      <c r="BT35" s="325"/>
      <c r="BU35" s="325"/>
      <c r="BV35" s="325"/>
      <c r="BW35" s="325"/>
      <c r="BX35" s="325"/>
      <c r="BY35" s="325"/>
      <c r="BZ35" s="329">
        <v>-260</v>
      </c>
      <c r="CA35" s="322">
        <v>-585</v>
      </c>
      <c r="CB35" s="322">
        <v>-455</v>
      </c>
      <c r="CC35" s="322">
        <v>-671.67</v>
      </c>
      <c r="CD35" s="325"/>
      <c r="CE35" s="325"/>
      <c r="CF35" s="325"/>
      <c r="CG35" s="325"/>
      <c r="CH35" s="325"/>
      <c r="CI35" s="325"/>
      <c r="CJ35" s="325"/>
      <c r="CK35" s="325"/>
      <c r="CL35" s="323">
        <v>41509.360000000001</v>
      </c>
      <c r="CM35" s="325"/>
      <c r="CN35" s="322">
        <f t="shared" si="5"/>
        <v>-3319.2883333333334</v>
      </c>
      <c r="CO35" s="323">
        <v>4451.6500000000024</v>
      </c>
      <c r="CP35" s="323">
        <v>4652.22</v>
      </c>
      <c r="CQ35" s="323">
        <v>513.6</v>
      </c>
      <c r="CR35" s="357"/>
      <c r="CS35" s="357"/>
      <c r="CT35" s="358"/>
      <c r="CU35" s="358"/>
      <c r="CV35" s="352"/>
      <c r="CW35" s="352"/>
      <c r="CX35" s="352"/>
      <c r="CY35" s="352"/>
    </row>
    <row r="36" spans="1:103" s="320" customFormat="1" ht="12" customHeight="1" x14ac:dyDescent="0.2">
      <c r="A36" s="322">
        <v>80000</v>
      </c>
      <c r="B36" s="321">
        <f t="shared" si="1"/>
        <v>43331</v>
      </c>
      <c r="C36" s="320">
        <v>66</v>
      </c>
      <c r="D36" s="320">
        <v>19</v>
      </c>
      <c r="E36" s="320">
        <v>5</v>
      </c>
      <c r="F36" s="320">
        <v>12</v>
      </c>
      <c r="G36" s="325"/>
      <c r="H36" s="325"/>
      <c r="I36" s="325"/>
      <c r="J36" s="325"/>
      <c r="K36" s="325"/>
      <c r="L36" s="325"/>
      <c r="M36" s="325"/>
      <c r="N36" s="325"/>
      <c r="O36" s="320">
        <f t="shared" si="0"/>
        <v>102</v>
      </c>
      <c r="P36" s="254">
        <v>166</v>
      </c>
      <c r="Q36" s="322">
        <f t="shared" si="2"/>
        <v>-33.870289115646258</v>
      </c>
      <c r="R36" s="325"/>
      <c r="S36" s="325"/>
      <c r="T36" s="325"/>
      <c r="U36" s="325"/>
      <c r="V36" s="325"/>
      <c r="W36" s="325"/>
      <c r="X36" s="325"/>
      <c r="Y36" s="325"/>
      <c r="Z36" s="325"/>
      <c r="AA36" s="325"/>
      <c r="AB36" s="325"/>
      <c r="AC36" s="325"/>
      <c r="AD36" s="325"/>
      <c r="AE36" s="325"/>
      <c r="AF36" s="325"/>
      <c r="AG36" s="325"/>
      <c r="AH36" s="325"/>
      <c r="AI36" s="325"/>
      <c r="AJ36" s="325"/>
      <c r="AK36" s="325"/>
      <c r="AL36" s="325"/>
      <c r="AM36" s="325"/>
      <c r="AN36" s="325"/>
      <c r="AO36" s="325"/>
      <c r="AP36" s="325"/>
      <c r="AQ36" s="325"/>
      <c r="AR36" s="325"/>
      <c r="AS36" s="325"/>
      <c r="AT36" s="325"/>
      <c r="AU36" s="325"/>
      <c r="AV36" s="325"/>
      <c r="AW36" s="325"/>
      <c r="AX36" s="325"/>
      <c r="AY36" s="325"/>
      <c r="AZ36" s="325"/>
      <c r="BA36" s="325"/>
      <c r="BB36" s="325"/>
      <c r="BC36" s="325"/>
      <c r="BD36" s="325"/>
      <c r="BE36" s="325"/>
      <c r="BF36" s="325"/>
      <c r="BG36" s="325"/>
      <c r="BH36" s="325"/>
      <c r="BI36" s="325"/>
      <c r="BJ36" s="325"/>
      <c r="BK36" s="325"/>
      <c r="BL36" s="325"/>
      <c r="BM36" s="325"/>
      <c r="BN36" s="322">
        <v>592.07000000000005</v>
      </c>
      <c r="BO36" s="322">
        <v>1107.78</v>
      </c>
      <c r="BP36" s="322">
        <v>923.22</v>
      </c>
      <c r="BQ36" s="322">
        <v>1561.18</v>
      </c>
      <c r="BR36" s="325"/>
      <c r="BS36" s="325"/>
      <c r="BT36" s="325"/>
      <c r="BU36" s="325"/>
      <c r="BV36" s="325"/>
      <c r="BW36" s="325"/>
      <c r="BX36" s="325"/>
      <c r="BY36" s="325"/>
      <c r="BZ36" s="329">
        <v>-260</v>
      </c>
      <c r="CA36" s="322">
        <v>-585</v>
      </c>
      <c r="CB36" s="322">
        <v>-455</v>
      </c>
      <c r="CC36" s="322">
        <v>-671.67</v>
      </c>
      <c r="CD36" s="325"/>
      <c r="CE36" s="325"/>
      <c r="CF36" s="325"/>
      <c r="CG36" s="325"/>
      <c r="CH36" s="325"/>
      <c r="CI36" s="325"/>
      <c r="CJ36" s="325"/>
      <c r="CK36" s="325"/>
      <c r="CL36" s="323">
        <v>63405.68</v>
      </c>
      <c r="CM36" s="325"/>
      <c r="CN36" s="322">
        <f t="shared" si="5"/>
        <v>-3319.2883333333334</v>
      </c>
      <c r="CO36" s="323">
        <v>4956.4000000000024</v>
      </c>
      <c r="CP36" s="323">
        <v>2861.050000000002</v>
      </c>
      <c r="CQ36" s="323">
        <v>1831.5</v>
      </c>
      <c r="CR36" s="357"/>
      <c r="CS36" s="357"/>
      <c r="CT36" s="358"/>
      <c r="CU36" s="358"/>
      <c r="CV36" s="352"/>
      <c r="CW36" s="352"/>
      <c r="CX36" s="352"/>
      <c r="CY36" s="352"/>
    </row>
    <row r="37" spans="1:103" s="320" customFormat="1" ht="12" customHeight="1" x14ac:dyDescent="0.2">
      <c r="B37" s="321">
        <f t="shared" si="1"/>
        <v>43362</v>
      </c>
      <c r="C37" s="320">
        <v>64</v>
      </c>
      <c r="D37" s="320">
        <v>18</v>
      </c>
      <c r="E37" s="320">
        <v>4</v>
      </c>
      <c r="F37" s="320">
        <v>12</v>
      </c>
      <c r="G37" s="325"/>
      <c r="H37" s="325"/>
      <c r="I37" s="325"/>
      <c r="J37" s="325"/>
      <c r="K37" s="325"/>
      <c r="L37" s="325"/>
      <c r="M37" s="325"/>
      <c r="N37" s="325"/>
      <c r="O37" s="320">
        <f t="shared" si="0"/>
        <v>98</v>
      </c>
      <c r="P37" s="254">
        <v>162</v>
      </c>
      <c r="Q37" s="322">
        <f t="shared" si="2"/>
        <v>-33.192883333333334</v>
      </c>
      <c r="R37" s="325"/>
      <c r="S37" s="325"/>
      <c r="T37" s="325"/>
      <c r="U37" s="325"/>
      <c r="V37" s="325"/>
      <c r="W37" s="325"/>
      <c r="X37" s="325"/>
      <c r="Y37" s="325"/>
      <c r="Z37" s="325"/>
      <c r="AA37" s="325"/>
      <c r="AB37" s="325"/>
      <c r="AC37" s="325"/>
      <c r="AD37" s="325"/>
      <c r="AE37" s="325"/>
      <c r="AF37" s="325"/>
      <c r="AG37" s="325"/>
      <c r="AH37" s="325"/>
      <c r="AI37" s="325"/>
      <c r="AJ37" s="325"/>
      <c r="AK37" s="325"/>
      <c r="AL37" s="325"/>
      <c r="AM37" s="325"/>
      <c r="AN37" s="325"/>
      <c r="AO37" s="325"/>
      <c r="AP37" s="325"/>
      <c r="AQ37" s="325"/>
      <c r="AR37" s="325"/>
      <c r="AS37" s="325"/>
      <c r="AT37" s="325"/>
      <c r="AU37" s="325"/>
      <c r="AV37" s="325"/>
      <c r="AW37" s="325"/>
      <c r="AX37" s="325"/>
      <c r="AY37" s="325"/>
      <c r="AZ37" s="325"/>
      <c r="BA37" s="325"/>
      <c r="BB37" s="325"/>
      <c r="BC37" s="325"/>
      <c r="BD37" s="325"/>
      <c r="BE37" s="325"/>
      <c r="BF37" s="325"/>
      <c r="BG37" s="325"/>
      <c r="BH37" s="325"/>
      <c r="BI37" s="325"/>
      <c r="BJ37" s="325"/>
      <c r="BK37" s="325"/>
      <c r="BL37" s="325"/>
      <c r="BM37" s="325"/>
      <c r="BN37" s="322">
        <v>592.07000000000005</v>
      </c>
      <c r="BO37" s="322">
        <v>1107.78</v>
      </c>
      <c r="BP37" s="322">
        <v>923.22</v>
      </c>
      <c r="BQ37" s="322">
        <v>1561.18</v>
      </c>
      <c r="BR37" s="325"/>
      <c r="BS37" s="325"/>
      <c r="BT37" s="325"/>
      <c r="BU37" s="325"/>
      <c r="BV37" s="325"/>
      <c r="BW37" s="325"/>
      <c r="BX37" s="325"/>
      <c r="BY37" s="325"/>
      <c r="BZ37" s="329">
        <v>-260</v>
      </c>
      <c r="CA37" s="322">
        <v>-585</v>
      </c>
      <c r="CB37" s="322">
        <v>-455</v>
      </c>
      <c r="CC37" s="322">
        <v>-671.67</v>
      </c>
      <c r="CD37" s="325"/>
      <c r="CE37" s="325"/>
      <c r="CF37" s="325"/>
      <c r="CG37" s="325"/>
      <c r="CH37" s="325"/>
      <c r="CI37" s="325"/>
      <c r="CJ37" s="325"/>
      <c r="CK37" s="325"/>
      <c r="CL37" s="323">
        <v>23585.040000000001</v>
      </c>
      <c r="CM37" s="325"/>
      <c r="CN37" s="322">
        <f t="shared" si="5"/>
        <v>-3319.2883333333334</v>
      </c>
      <c r="CO37" s="323">
        <v>3051.1800000000012</v>
      </c>
      <c r="CP37" s="323">
        <v>1819.3899999999976</v>
      </c>
      <c r="CQ37" s="323">
        <v>1805.43</v>
      </c>
      <c r="CR37" s="357"/>
      <c r="CS37" s="357"/>
      <c r="CT37" s="358"/>
      <c r="CU37" s="358"/>
      <c r="CV37" s="352"/>
      <c r="CW37" s="352"/>
      <c r="CX37" s="352"/>
      <c r="CY37" s="352"/>
    </row>
    <row r="38" spans="1:103" s="320" customFormat="1" ht="12" customHeight="1" x14ac:dyDescent="0.2">
      <c r="A38" s="320" t="s">
        <v>175</v>
      </c>
      <c r="B38" s="321">
        <f t="shared" si="1"/>
        <v>43393</v>
      </c>
      <c r="C38" s="320">
        <v>60</v>
      </c>
      <c r="D38" s="320">
        <v>18</v>
      </c>
      <c r="E38" s="320">
        <v>5</v>
      </c>
      <c r="F38" s="320">
        <v>11</v>
      </c>
      <c r="G38" s="325"/>
      <c r="H38" s="325"/>
      <c r="I38" s="325"/>
      <c r="J38" s="325"/>
      <c r="K38" s="325"/>
      <c r="L38" s="325"/>
      <c r="M38" s="325"/>
      <c r="N38" s="325"/>
      <c r="O38" s="320">
        <f t="shared" si="0"/>
        <v>94</v>
      </c>
      <c r="P38" s="254">
        <v>154</v>
      </c>
      <c r="Q38" s="322">
        <f t="shared" si="2"/>
        <v>-32.542042483660133</v>
      </c>
      <c r="R38" s="325"/>
      <c r="S38" s="325"/>
      <c r="T38" s="325"/>
      <c r="U38" s="325"/>
      <c r="V38" s="325"/>
      <c r="W38" s="325"/>
      <c r="X38" s="325"/>
      <c r="Y38" s="325"/>
      <c r="Z38" s="325"/>
      <c r="AA38" s="325"/>
      <c r="AB38" s="325"/>
      <c r="AC38" s="325"/>
      <c r="AD38" s="325"/>
      <c r="AE38" s="325"/>
      <c r="AF38" s="325"/>
      <c r="AG38" s="325"/>
      <c r="AH38" s="325"/>
      <c r="AI38" s="325"/>
      <c r="AJ38" s="325"/>
      <c r="AK38" s="325"/>
      <c r="AL38" s="325"/>
      <c r="AM38" s="325"/>
      <c r="AN38" s="325"/>
      <c r="AO38" s="325"/>
      <c r="AP38" s="325"/>
      <c r="AQ38" s="325"/>
      <c r="AR38" s="325"/>
      <c r="AS38" s="325"/>
      <c r="AT38" s="325"/>
      <c r="AU38" s="325"/>
      <c r="AV38" s="325"/>
      <c r="AW38" s="325"/>
      <c r="AX38" s="325"/>
      <c r="AY38" s="325"/>
      <c r="AZ38" s="325"/>
      <c r="BA38" s="325"/>
      <c r="BB38" s="325"/>
      <c r="BC38" s="325"/>
      <c r="BD38" s="325"/>
      <c r="BE38" s="325"/>
      <c r="BF38" s="325"/>
      <c r="BG38" s="325"/>
      <c r="BH38" s="325"/>
      <c r="BI38" s="325"/>
      <c r="BJ38" s="325"/>
      <c r="BK38" s="325"/>
      <c r="BL38" s="325"/>
      <c r="BM38" s="325"/>
      <c r="BN38" s="322">
        <v>592.07000000000005</v>
      </c>
      <c r="BO38" s="322">
        <v>1107.78</v>
      </c>
      <c r="BP38" s="322">
        <v>923.22</v>
      </c>
      <c r="BQ38" s="322">
        <v>1561.18</v>
      </c>
      <c r="BR38" s="325"/>
      <c r="BS38" s="325"/>
      <c r="BT38" s="325"/>
      <c r="BU38" s="325"/>
      <c r="BV38" s="325"/>
      <c r="BW38" s="325"/>
      <c r="BX38" s="325"/>
      <c r="BY38" s="325"/>
      <c r="BZ38" s="329">
        <v>-260</v>
      </c>
      <c r="CA38" s="322">
        <v>-585</v>
      </c>
      <c r="CB38" s="322">
        <v>-455</v>
      </c>
      <c r="CC38" s="322">
        <v>-671.67</v>
      </c>
      <c r="CD38" s="325"/>
      <c r="CE38" s="325"/>
      <c r="CF38" s="325"/>
      <c r="CG38" s="325"/>
      <c r="CH38" s="325"/>
      <c r="CI38" s="325"/>
      <c r="CJ38" s="325"/>
      <c r="CK38" s="325"/>
      <c r="CL38" s="323">
        <v>47670.07</v>
      </c>
      <c r="CM38" s="325"/>
      <c r="CN38" s="322">
        <f t="shared" si="5"/>
        <v>-3319.2883333333334</v>
      </c>
      <c r="CO38" s="323">
        <v>9517.5499999999993</v>
      </c>
      <c r="CP38" s="323">
        <v>4465.670000000001</v>
      </c>
      <c r="CQ38" s="323">
        <v>1405.6</v>
      </c>
      <c r="CR38" s="357"/>
      <c r="CS38" s="357"/>
      <c r="CT38" s="358"/>
      <c r="CU38" s="358"/>
      <c r="CV38" s="352"/>
      <c r="CW38" s="352"/>
      <c r="CX38" s="352"/>
      <c r="CY38" s="352"/>
    </row>
    <row r="39" spans="1:103" s="320" customFormat="1" ht="12" customHeight="1" x14ac:dyDescent="0.2">
      <c r="B39" s="321">
        <f t="shared" si="1"/>
        <v>43424</v>
      </c>
      <c r="C39" s="320">
        <v>59</v>
      </c>
      <c r="D39" s="320">
        <v>19</v>
      </c>
      <c r="E39" s="320">
        <v>3</v>
      </c>
      <c r="F39" s="320">
        <v>9</v>
      </c>
      <c r="G39" s="325"/>
      <c r="H39" s="325"/>
      <c r="I39" s="325"/>
      <c r="J39" s="325"/>
      <c r="K39" s="325"/>
      <c r="L39" s="325"/>
      <c r="M39" s="325"/>
      <c r="N39" s="325"/>
      <c r="O39" s="320">
        <f t="shared" si="0"/>
        <v>90</v>
      </c>
      <c r="P39" s="254">
        <v>144</v>
      </c>
      <c r="Q39" s="322">
        <f t="shared" ref="Q39:Q64" si="6">SUM(CN39:CN39)/SUM(C37:N37)</f>
        <v>-33.870289115646258</v>
      </c>
      <c r="R39" s="325"/>
      <c r="S39" s="325"/>
      <c r="T39" s="325"/>
      <c r="U39" s="325"/>
      <c r="V39" s="325"/>
      <c r="W39" s="325"/>
      <c r="X39" s="325"/>
      <c r="Y39" s="325"/>
      <c r="Z39" s="325"/>
      <c r="AA39" s="325"/>
      <c r="AB39" s="325"/>
      <c r="AC39" s="325"/>
      <c r="AD39" s="325"/>
      <c r="AE39" s="325"/>
      <c r="AF39" s="325"/>
      <c r="AG39" s="325"/>
      <c r="AH39" s="325"/>
      <c r="AI39" s="325"/>
      <c r="AJ39" s="325"/>
      <c r="AK39" s="325"/>
      <c r="AL39" s="325"/>
      <c r="AM39" s="325"/>
      <c r="AN39" s="325"/>
      <c r="AO39" s="325"/>
      <c r="AP39" s="325"/>
      <c r="AQ39" s="325"/>
      <c r="AR39" s="325"/>
      <c r="AS39" s="325"/>
      <c r="AT39" s="325"/>
      <c r="AU39" s="325"/>
      <c r="AV39" s="325"/>
      <c r="AW39" s="325"/>
      <c r="AX39" s="325"/>
      <c r="AY39" s="325"/>
      <c r="AZ39" s="325"/>
      <c r="BA39" s="325"/>
      <c r="BB39" s="325"/>
      <c r="BC39" s="325"/>
      <c r="BD39" s="325"/>
      <c r="BE39" s="325"/>
      <c r="BF39" s="325"/>
      <c r="BG39" s="325"/>
      <c r="BH39" s="325"/>
      <c r="BI39" s="325"/>
      <c r="BJ39" s="325"/>
      <c r="BK39" s="325"/>
      <c r="BL39" s="325"/>
      <c r="BM39" s="325"/>
      <c r="BN39" s="322">
        <v>592.07000000000005</v>
      </c>
      <c r="BO39" s="322">
        <v>1107.78</v>
      </c>
      <c r="BP39" s="322">
        <v>923.22</v>
      </c>
      <c r="BQ39" s="322">
        <v>1561.18</v>
      </c>
      <c r="BR39" s="325"/>
      <c r="BS39" s="325"/>
      <c r="BT39" s="325"/>
      <c r="BU39" s="325"/>
      <c r="BV39" s="325"/>
      <c r="BW39" s="325"/>
      <c r="BX39" s="325"/>
      <c r="BY39" s="325"/>
      <c r="BZ39" s="329">
        <v>-260</v>
      </c>
      <c r="CA39" s="322">
        <v>-585</v>
      </c>
      <c r="CB39" s="322">
        <v>-455</v>
      </c>
      <c r="CC39" s="322">
        <v>-671.67</v>
      </c>
      <c r="CD39" s="325"/>
      <c r="CE39" s="325"/>
      <c r="CF39" s="325"/>
      <c r="CG39" s="325"/>
      <c r="CH39" s="325"/>
      <c r="CI39" s="325"/>
      <c r="CJ39" s="325"/>
      <c r="CK39" s="325"/>
      <c r="CL39" s="323">
        <v>68583.070000000007</v>
      </c>
      <c r="CM39" s="325"/>
      <c r="CN39" s="322">
        <f t="shared" si="5"/>
        <v>-3319.2883333333334</v>
      </c>
      <c r="CO39" s="323">
        <v>3599.8100000000059</v>
      </c>
      <c r="CP39" s="323">
        <v>0</v>
      </c>
      <c r="CQ39" s="323">
        <v>2010</v>
      </c>
      <c r="CR39" s="357"/>
      <c r="CS39" s="357"/>
      <c r="CT39" s="358"/>
      <c r="CU39" s="358"/>
      <c r="CV39" s="352"/>
      <c r="CW39" s="352"/>
      <c r="CX39" s="352"/>
      <c r="CY39" s="352"/>
    </row>
    <row r="40" spans="1:103" s="320" customFormat="1" ht="12" customHeight="1" x14ac:dyDescent="0.2">
      <c r="B40" s="321">
        <f t="shared" si="1"/>
        <v>43455</v>
      </c>
      <c r="C40" s="320">
        <v>61</v>
      </c>
      <c r="D40" s="320">
        <v>20</v>
      </c>
      <c r="E40" s="320">
        <v>3</v>
      </c>
      <c r="F40" s="320">
        <v>9</v>
      </c>
      <c r="G40" s="325"/>
      <c r="H40" s="325"/>
      <c r="I40" s="325"/>
      <c r="J40" s="325"/>
      <c r="K40" s="325"/>
      <c r="L40" s="325"/>
      <c r="M40" s="325"/>
      <c r="N40" s="325"/>
      <c r="O40" s="320">
        <f t="shared" si="0"/>
        <v>93</v>
      </c>
      <c r="P40" s="254">
        <v>148</v>
      </c>
      <c r="Q40" s="322">
        <f t="shared" si="6"/>
        <v>-35.311578014184398</v>
      </c>
      <c r="R40" s="325"/>
      <c r="S40" s="325"/>
      <c r="T40" s="325"/>
      <c r="U40" s="325"/>
      <c r="V40" s="325"/>
      <c r="W40" s="325"/>
      <c r="X40" s="325"/>
      <c r="Y40" s="325"/>
      <c r="Z40" s="325"/>
      <c r="AA40" s="325"/>
      <c r="AB40" s="325"/>
      <c r="AC40" s="325"/>
      <c r="AD40" s="325"/>
      <c r="AE40" s="325"/>
      <c r="AF40" s="325"/>
      <c r="AG40" s="325"/>
      <c r="AH40" s="325"/>
      <c r="AI40" s="325"/>
      <c r="AJ40" s="325"/>
      <c r="AK40" s="325"/>
      <c r="AL40" s="325"/>
      <c r="AM40" s="325"/>
      <c r="AN40" s="325"/>
      <c r="AO40" s="325"/>
      <c r="AP40" s="325"/>
      <c r="AQ40" s="325"/>
      <c r="AR40" s="325"/>
      <c r="AS40" s="325"/>
      <c r="AT40" s="325"/>
      <c r="AU40" s="325"/>
      <c r="AV40" s="325"/>
      <c r="AW40" s="325"/>
      <c r="AX40" s="325"/>
      <c r="AY40" s="325"/>
      <c r="AZ40" s="325"/>
      <c r="BA40" s="325"/>
      <c r="BB40" s="325"/>
      <c r="BC40" s="325"/>
      <c r="BD40" s="325"/>
      <c r="BE40" s="325"/>
      <c r="BF40" s="325"/>
      <c r="BG40" s="325"/>
      <c r="BH40" s="325"/>
      <c r="BI40" s="325"/>
      <c r="BJ40" s="325"/>
      <c r="BK40" s="325"/>
      <c r="BL40" s="325"/>
      <c r="BM40" s="325"/>
      <c r="BN40" s="322">
        <v>592.07000000000005</v>
      </c>
      <c r="BO40" s="322">
        <v>1107.78</v>
      </c>
      <c r="BP40" s="322">
        <v>923.22</v>
      </c>
      <c r="BQ40" s="322">
        <v>1561.18</v>
      </c>
      <c r="BR40" s="325"/>
      <c r="BS40" s="325"/>
      <c r="BT40" s="325"/>
      <c r="BU40" s="325"/>
      <c r="BV40" s="325"/>
      <c r="BW40" s="325"/>
      <c r="BX40" s="325"/>
      <c r="BY40" s="325"/>
      <c r="BZ40" s="329">
        <v>-260</v>
      </c>
      <c r="CA40" s="322">
        <v>-585</v>
      </c>
      <c r="CB40" s="322">
        <v>-455</v>
      </c>
      <c r="CC40" s="322">
        <v>-671.67</v>
      </c>
      <c r="CD40" s="325"/>
      <c r="CE40" s="325"/>
      <c r="CF40" s="325"/>
      <c r="CG40" s="325"/>
      <c r="CH40" s="325"/>
      <c r="CI40" s="325"/>
      <c r="CJ40" s="325"/>
      <c r="CK40" s="325"/>
      <c r="CL40" s="323">
        <v>34043.699999999997</v>
      </c>
      <c r="CM40" s="325"/>
      <c r="CN40" s="322">
        <f t="shared" si="5"/>
        <v>-3319.2883333333334</v>
      </c>
      <c r="CO40" s="323">
        <v>4092.6800000000012</v>
      </c>
      <c r="CP40" s="323">
        <v>0</v>
      </c>
      <c r="CQ40" s="323">
        <v>2400.4</v>
      </c>
      <c r="CR40" s="357"/>
      <c r="CS40" s="357"/>
      <c r="CT40" s="358"/>
      <c r="CU40" s="358"/>
      <c r="CV40" s="352"/>
      <c r="CW40" s="352"/>
      <c r="CX40" s="352"/>
      <c r="CY40" s="352"/>
    </row>
    <row r="41" spans="1:103" s="337" customFormat="1" ht="12" customHeight="1" x14ac:dyDescent="0.2">
      <c r="A41" s="337" t="s">
        <v>171</v>
      </c>
      <c r="B41" s="338">
        <f t="shared" si="1"/>
        <v>43486</v>
      </c>
      <c r="C41" s="337">
        <v>63</v>
      </c>
      <c r="D41" s="337">
        <v>18</v>
      </c>
      <c r="E41" s="337">
        <v>6</v>
      </c>
      <c r="F41" s="337">
        <v>9</v>
      </c>
      <c r="G41" s="339"/>
      <c r="H41" s="339"/>
      <c r="I41" s="339"/>
      <c r="J41" s="339"/>
      <c r="K41" s="339"/>
      <c r="L41" s="339"/>
      <c r="M41" s="339"/>
      <c r="N41" s="339"/>
      <c r="O41" s="337">
        <f t="shared" si="0"/>
        <v>96</v>
      </c>
      <c r="P41" s="340">
        <v>153</v>
      </c>
      <c r="Q41" s="341">
        <f t="shared" si="6"/>
        <v>-54.629629629629633</v>
      </c>
      <c r="R41" s="339"/>
      <c r="S41" s="339"/>
      <c r="T41" s="339"/>
      <c r="U41" s="339"/>
      <c r="V41" s="339"/>
      <c r="W41" s="339"/>
      <c r="X41" s="339"/>
      <c r="Y41" s="339"/>
      <c r="Z41" s="339"/>
      <c r="AA41" s="339"/>
      <c r="AB41" s="339"/>
      <c r="AC41" s="339"/>
      <c r="AD41" s="339"/>
      <c r="AE41" s="339"/>
      <c r="AF41" s="339"/>
      <c r="AG41" s="339"/>
      <c r="AH41" s="339"/>
      <c r="AI41" s="339"/>
      <c r="AJ41" s="339"/>
      <c r="AK41" s="339"/>
      <c r="AL41" s="339"/>
      <c r="AM41" s="339"/>
      <c r="AN41" s="339"/>
      <c r="AO41" s="339"/>
      <c r="AP41" s="339"/>
      <c r="AQ41" s="339"/>
      <c r="AR41" s="339"/>
      <c r="AS41" s="339"/>
      <c r="AT41" s="339"/>
      <c r="AU41" s="339"/>
      <c r="AV41" s="339"/>
      <c r="AW41" s="339"/>
      <c r="AX41" s="339"/>
      <c r="AY41" s="339"/>
      <c r="AZ41" s="339"/>
      <c r="BA41" s="339"/>
      <c r="BB41" s="339"/>
      <c r="BC41" s="339"/>
      <c r="BD41" s="339"/>
      <c r="BE41" s="339"/>
      <c r="BF41" s="339"/>
      <c r="BG41" s="339"/>
      <c r="BH41" s="339"/>
      <c r="BI41" s="339"/>
      <c r="BJ41" s="339"/>
      <c r="BK41" s="339"/>
      <c r="BL41" s="339"/>
      <c r="BM41" s="339"/>
      <c r="BN41" s="341">
        <v>684.24</v>
      </c>
      <c r="BO41" s="341">
        <v>1276.83</v>
      </c>
      <c r="BP41" s="341">
        <v>1184.46</v>
      </c>
      <c r="BQ41" s="341">
        <v>2043.55</v>
      </c>
      <c r="BR41" s="339"/>
      <c r="BS41" s="339"/>
      <c r="BT41" s="339"/>
      <c r="BU41" s="339"/>
      <c r="BV41" s="339"/>
      <c r="BW41" s="339"/>
      <c r="BX41" s="339"/>
      <c r="BY41" s="339"/>
      <c r="BZ41" s="342">
        <v>-281.66666666666669</v>
      </c>
      <c r="CA41" s="341">
        <v>-619.66666666666663</v>
      </c>
      <c r="CB41" s="341">
        <v>-511.33333333333331</v>
      </c>
      <c r="CC41" s="341">
        <v>-749.66666666666663</v>
      </c>
      <c r="CD41" s="339"/>
      <c r="CE41" s="339"/>
      <c r="CF41" s="339"/>
      <c r="CG41" s="339"/>
      <c r="CH41" s="339"/>
      <c r="CI41" s="339"/>
      <c r="CJ41" s="339"/>
      <c r="CK41" s="339"/>
      <c r="CL41" s="343">
        <v>22552.48</v>
      </c>
      <c r="CM41" s="339"/>
      <c r="CN41" s="342">
        <f>-59000/12</f>
        <v>-4916.666666666667</v>
      </c>
      <c r="CO41" s="343">
        <v>1857.41</v>
      </c>
      <c r="CP41" s="343">
        <v>0</v>
      </c>
      <c r="CQ41" s="343">
        <v>1654.4</v>
      </c>
      <c r="CR41" s="355"/>
      <c r="CS41" s="355"/>
      <c r="CT41" s="356"/>
      <c r="CU41" s="356"/>
      <c r="CV41" s="354"/>
      <c r="CW41" s="354"/>
      <c r="CX41" s="354"/>
      <c r="CY41" s="354"/>
    </row>
    <row r="42" spans="1:103" s="320" customFormat="1" ht="12" customHeight="1" x14ac:dyDescent="0.2">
      <c r="A42" s="320" t="s">
        <v>172</v>
      </c>
      <c r="B42" s="321">
        <f t="shared" si="1"/>
        <v>43517</v>
      </c>
      <c r="C42" s="320">
        <v>65</v>
      </c>
      <c r="D42" s="320">
        <v>16</v>
      </c>
      <c r="E42" s="320">
        <v>6</v>
      </c>
      <c r="F42" s="320">
        <v>8</v>
      </c>
      <c r="G42" s="325"/>
      <c r="H42" s="325"/>
      <c r="I42" s="325"/>
      <c r="J42" s="325"/>
      <c r="K42" s="325"/>
      <c r="L42" s="325"/>
      <c r="M42" s="325"/>
      <c r="N42" s="325"/>
      <c r="O42" s="320">
        <f t="shared" si="0"/>
        <v>95</v>
      </c>
      <c r="P42" s="254">
        <v>147</v>
      </c>
      <c r="Q42" s="322">
        <f t="shared" si="6"/>
        <v>-52.867383512544805</v>
      </c>
      <c r="R42" s="325"/>
      <c r="S42" s="325"/>
      <c r="T42" s="325"/>
      <c r="U42" s="325"/>
      <c r="V42" s="325"/>
      <c r="W42" s="325"/>
      <c r="X42" s="325"/>
      <c r="Y42" s="325"/>
      <c r="Z42" s="325"/>
      <c r="AA42" s="325"/>
      <c r="AB42" s="325"/>
      <c r="AC42" s="325"/>
      <c r="AD42" s="325"/>
      <c r="AE42" s="325"/>
      <c r="AF42" s="325"/>
      <c r="AG42" s="325"/>
      <c r="AH42" s="325"/>
      <c r="AI42" s="325"/>
      <c r="AJ42" s="325"/>
      <c r="AK42" s="325"/>
      <c r="AL42" s="325"/>
      <c r="AM42" s="325"/>
      <c r="AN42" s="325"/>
      <c r="AO42" s="325"/>
      <c r="AP42" s="325"/>
      <c r="AQ42" s="325"/>
      <c r="AR42" s="325"/>
      <c r="AS42" s="325"/>
      <c r="AT42" s="325"/>
      <c r="AU42" s="325"/>
      <c r="AV42" s="325"/>
      <c r="AW42" s="325"/>
      <c r="AX42" s="325"/>
      <c r="AY42" s="325"/>
      <c r="AZ42" s="325"/>
      <c r="BA42" s="325"/>
      <c r="BB42" s="325"/>
      <c r="BC42" s="325"/>
      <c r="BD42" s="325"/>
      <c r="BE42" s="325"/>
      <c r="BF42" s="325"/>
      <c r="BG42" s="325"/>
      <c r="BH42" s="325"/>
      <c r="BI42" s="325"/>
      <c r="BJ42" s="325"/>
      <c r="BK42" s="325"/>
      <c r="BL42" s="325"/>
      <c r="BM42" s="325"/>
      <c r="BN42" s="322">
        <v>684.24</v>
      </c>
      <c r="BO42" s="322">
        <v>1276.83</v>
      </c>
      <c r="BP42" s="322">
        <v>1184.46</v>
      </c>
      <c r="BQ42" s="322">
        <v>2043.55</v>
      </c>
      <c r="BR42" s="325"/>
      <c r="BS42" s="325"/>
      <c r="BT42" s="325"/>
      <c r="BU42" s="325"/>
      <c r="BV42" s="325"/>
      <c r="BW42" s="325"/>
      <c r="BX42" s="325"/>
      <c r="BY42" s="325"/>
      <c r="BZ42" s="329">
        <v>-281.66666666666669</v>
      </c>
      <c r="CA42" s="322">
        <v>-619.66666666666663</v>
      </c>
      <c r="CB42" s="322">
        <v>-511.33333333333331</v>
      </c>
      <c r="CC42" s="322">
        <v>-749.66666666666663</v>
      </c>
      <c r="CD42" s="325"/>
      <c r="CE42" s="325"/>
      <c r="CF42" s="325"/>
      <c r="CG42" s="325"/>
      <c r="CH42" s="325"/>
      <c r="CI42" s="325"/>
      <c r="CJ42" s="325"/>
      <c r="CK42" s="325"/>
      <c r="CL42" s="323">
        <v>99622.42</v>
      </c>
      <c r="CM42" s="325"/>
      <c r="CN42" s="329">
        <f>CN41</f>
        <v>-4916.666666666667</v>
      </c>
      <c r="CO42" s="323">
        <v>2765.5200000000004</v>
      </c>
      <c r="CP42" s="323">
        <v>0</v>
      </c>
      <c r="CQ42" s="323">
        <v>506.6</v>
      </c>
      <c r="CR42" s="357"/>
      <c r="CS42" s="357"/>
      <c r="CT42" s="358"/>
      <c r="CU42" s="358"/>
      <c r="CV42" s="352"/>
      <c r="CW42" s="352"/>
      <c r="CX42" s="352"/>
      <c r="CY42" s="352"/>
    </row>
    <row r="43" spans="1:103" s="320" customFormat="1" ht="12" customHeight="1" x14ac:dyDescent="0.2">
      <c r="B43" s="321">
        <f t="shared" si="1"/>
        <v>43548</v>
      </c>
      <c r="C43" s="320">
        <v>65</v>
      </c>
      <c r="D43" s="320">
        <v>16</v>
      </c>
      <c r="E43" s="320">
        <v>6</v>
      </c>
      <c r="F43" s="320">
        <v>8</v>
      </c>
      <c r="G43" s="325"/>
      <c r="H43" s="325"/>
      <c r="I43" s="325"/>
      <c r="J43" s="325"/>
      <c r="K43" s="325"/>
      <c r="L43" s="325"/>
      <c r="M43" s="325"/>
      <c r="N43" s="325"/>
      <c r="O43" s="320">
        <f t="shared" si="0"/>
        <v>95</v>
      </c>
      <c r="P43" s="254">
        <v>147</v>
      </c>
      <c r="Q43" s="322">
        <f t="shared" si="6"/>
        <v>-51.215277777777779</v>
      </c>
      <c r="R43" s="325"/>
      <c r="S43" s="325"/>
      <c r="T43" s="325"/>
      <c r="U43" s="325"/>
      <c r="V43" s="325"/>
      <c r="W43" s="325"/>
      <c r="X43" s="325"/>
      <c r="Y43" s="325"/>
      <c r="Z43" s="325"/>
      <c r="AA43" s="325"/>
      <c r="AB43" s="325"/>
      <c r="AC43" s="325"/>
      <c r="AD43" s="325"/>
      <c r="AE43" s="325"/>
      <c r="AF43" s="325"/>
      <c r="AG43" s="325"/>
      <c r="AH43" s="325"/>
      <c r="AI43" s="325"/>
      <c r="AJ43" s="325"/>
      <c r="AK43" s="325"/>
      <c r="AL43" s="325"/>
      <c r="AM43" s="325"/>
      <c r="AN43" s="325"/>
      <c r="AO43" s="325"/>
      <c r="AP43" s="325"/>
      <c r="AQ43" s="325"/>
      <c r="AR43" s="325"/>
      <c r="AS43" s="325"/>
      <c r="AT43" s="325"/>
      <c r="AU43" s="325"/>
      <c r="AV43" s="325"/>
      <c r="AW43" s="325"/>
      <c r="AX43" s="325"/>
      <c r="AY43" s="325"/>
      <c r="AZ43" s="325"/>
      <c r="BA43" s="325"/>
      <c r="BB43" s="325"/>
      <c r="BC43" s="325"/>
      <c r="BD43" s="325"/>
      <c r="BE43" s="325"/>
      <c r="BF43" s="325"/>
      <c r="BG43" s="325"/>
      <c r="BH43" s="325"/>
      <c r="BI43" s="325"/>
      <c r="BJ43" s="325"/>
      <c r="BK43" s="325"/>
      <c r="BL43" s="325"/>
      <c r="BM43" s="325"/>
      <c r="BN43" s="322">
        <v>684.24</v>
      </c>
      <c r="BO43" s="322">
        <v>1276.83</v>
      </c>
      <c r="BP43" s="322">
        <v>1184.46</v>
      </c>
      <c r="BQ43" s="322">
        <v>2043.55</v>
      </c>
      <c r="BR43" s="325"/>
      <c r="BS43" s="325"/>
      <c r="BT43" s="325"/>
      <c r="BU43" s="325"/>
      <c r="BV43" s="325"/>
      <c r="BW43" s="325"/>
      <c r="BX43" s="325"/>
      <c r="BY43" s="325"/>
      <c r="BZ43" s="329">
        <v>-281.66666666666669</v>
      </c>
      <c r="CA43" s="322">
        <v>-619.66666666666663</v>
      </c>
      <c r="CB43" s="322">
        <v>-511.33333333333331</v>
      </c>
      <c r="CC43" s="322">
        <v>-749.66666666666663</v>
      </c>
      <c r="CD43" s="325"/>
      <c r="CE43" s="325"/>
      <c r="CF43" s="325"/>
      <c r="CG43" s="325"/>
      <c r="CH43" s="325"/>
      <c r="CI43" s="325"/>
      <c r="CJ43" s="325"/>
      <c r="CK43" s="325"/>
      <c r="CL43" s="323">
        <v>50283.39</v>
      </c>
      <c r="CM43" s="325"/>
      <c r="CN43" s="329">
        <f t="shared" ref="CN43:CN52" si="7">CN42</f>
        <v>-4916.666666666667</v>
      </c>
      <c r="CO43" s="323">
        <v>4149.42</v>
      </c>
      <c r="CP43" s="323">
        <v>0</v>
      </c>
      <c r="CQ43" s="323">
        <v>1664.01</v>
      </c>
      <c r="CR43" s="357"/>
      <c r="CS43" s="357"/>
      <c r="CT43" s="358"/>
      <c r="CU43" s="358"/>
      <c r="CV43" s="352"/>
      <c r="CW43" s="352"/>
      <c r="CX43" s="352"/>
      <c r="CY43" s="352"/>
    </row>
    <row r="44" spans="1:103" s="320" customFormat="1" ht="12" customHeight="1" x14ac:dyDescent="0.2">
      <c r="A44" s="320" t="s">
        <v>173</v>
      </c>
      <c r="B44" s="321">
        <f t="shared" si="1"/>
        <v>43579</v>
      </c>
      <c r="C44" s="320">
        <v>66</v>
      </c>
      <c r="D44" s="320">
        <v>16</v>
      </c>
      <c r="E44" s="320">
        <v>5</v>
      </c>
      <c r="F44" s="320">
        <v>9</v>
      </c>
      <c r="G44" s="325"/>
      <c r="H44" s="325"/>
      <c r="I44" s="325"/>
      <c r="J44" s="325"/>
      <c r="K44" s="325"/>
      <c r="L44" s="325"/>
      <c r="M44" s="325"/>
      <c r="N44" s="325"/>
      <c r="O44" s="320">
        <f t="shared" si="0"/>
        <v>96</v>
      </c>
      <c r="P44" s="254">
        <v>149</v>
      </c>
      <c r="Q44" s="322">
        <f t="shared" si="6"/>
        <v>-51.754385964912281</v>
      </c>
      <c r="R44" s="325"/>
      <c r="S44" s="325"/>
      <c r="T44" s="325"/>
      <c r="U44" s="325"/>
      <c r="V44" s="325"/>
      <c r="W44" s="325"/>
      <c r="X44" s="325"/>
      <c r="Y44" s="325"/>
      <c r="Z44" s="325"/>
      <c r="AA44" s="325"/>
      <c r="AB44" s="325"/>
      <c r="AC44" s="325"/>
      <c r="AD44" s="325"/>
      <c r="AE44" s="325"/>
      <c r="AF44" s="325"/>
      <c r="AG44" s="325"/>
      <c r="AH44" s="325"/>
      <c r="AI44" s="325"/>
      <c r="AJ44" s="325"/>
      <c r="AK44" s="325"/>
      <c r="AL44" s="325"/>
      <c r="AM44" s="325"/>
      <c r="AN44" s="325"/>
      <c r="AO44" s="325"/>
      <c r="AP44" s="325"/>
      <c r="AQ44" s="325"/>
      <c r="AR44" s="325"/>
      <c r="AS44" s="325"/>
      <c r="AT44" s="325"/>
      <c r="AU44" s="325"/>
      <c r="AV44" s="325"/>
      <c r="AW44" s="325"/>
      <c r="AX44" s="325"/>
      <c r="AY44" s="325"/>
      <c r="AZ44" s="325"/>
      <c r="BA44" s="325"/>
      <c r="BB44" s="325"/>
      <c r="BC44" s="325"/>
      <c r="BD44" s="325"/>
      <c r="BE44" s="325"/>
      <c r="BF44" s="325"/>
      <c r="BG44" s="325"/>
      <c r="BH44" s="325"/>
      <c r="BI44" s="325"/>
      <c r="BJ44" s="325"/>
      <c r="BK44" s="325"/>
      <c r="BL44" s="325"/>
      <c r="BM44" s="325"/>
      <c r="BN44" s="322">
        <v>684.24</v>
      </c>
      <c r="BO44" s="322">
        <v>1276.83</v>
      </c>
      <c r="BP44" s="322">
        <v>1184.46</v>
      </c>
      <c r="BQ44" s="322">
        <v>2043.55</v>
      </c>
      <c r="BR44" s="325"/>
      <c r="BS44" s="325"/>
      <c r="BT44" s="325"/>
      <c r="BU44" s="325"/>
      <c r="BV44" s="325"/>
      <c r="BW44" s="325"/>
      <c r="BX44" s="325"/>
      <c r="BY44" s="325"/>
      <c r="BZ44" s="329">
        <v>-281.66666666666669</v>
      </c>
      <c r="CA44" s="322">
        <v>-619.66666666666663</v>
      </c>
      <c r="CB44" s="322">
        <v>-511.33333333333331</v>
      </c>
      <c r="CC44" s="322">
        <v>-749.66666666666663</v>
      </c>
      <c r="CD44" s="325"/>
      <c r="CE44" s="325"/>
      <c r="CF44" s="325"/>
      <c r="CG44" s="325"/>
      <c r="CH44" s="325"/>
      <c r="CI44" s="325"/>
      <c r="CJ44" s="325"/>
      <c r="CK44" s="325"/>
      <c r="CL44" s="323">
        <v>46826.17</v>
      </c>
      <c r="CM44" s="325"/>
      <c r="CN44" s="329">
        <f t="shared" si="7"/>
        <v>-4916.666666666667</v>
      </c>
      <c r="CO44" s="323">
        <v>4767.25</v>
      </c>
      <c r="CP44" s="323">
        <v>0</v>
      </c>
      <c r="CQ44" s="323">
        <v>2027.2</v>
      </c>
      <c r="CR44" s="357"/>
      <c r="CS44" s="357"/>
      <c r="CT44" s="358"/>
      <c r="CU44" s="358"/>
      <c r="CV44" s="352"/>
      <c r="CW44" s="352"/>
      <c r="CX44" s="352"/>
      <c r="CY44" s="352"/>
    </row>
    <row r="45" spans="1:103" s="320" customFormat="1" ht="12" customHeight="1" x14ac:dyDescent="0.2">
      <c r="A45" s="320" t="s">
        <v>174</v>
      </c>
      <c r="B45" s="321">
        <f t="shared" si="1"/>
        <v>43610</v>
      </c>
      <c r="C45" s="320">
        <v>62</v>
      </c>
      <c r="D45" s="320">
        <v>16</v>
      </c>
      <c r="E45" s="320">
        <v>5</v>
      </c>
      <c r="F45" s="320">
        <v>9</v>
      </c>
      <c r="G45" s="325"/>
      <c r="H45" s="325"/>
      <c r="I45" s="325"/>
      <c r="J45" s="325"/>
      <c r="K45" s="325"/>
      <c r="L45" s="325"/>
      <c r="M45" s="325"/>
      <c r="N45" s="325"/>
      <c r="O45" s="320">
        <f t="shared" si="0"/>
        <v>92</v>
      </c>
      <c r="P45" s="254">
        <v>145</v>
      </c>
      <c r="Q45" s="322">
        <f t="shared" si="6"/>
        <v>-51.754385964912281</v>
      </c>
      <c r="R45" s="325"/>
      <c r="S45" s="325"/>
      <c r="T45" s="325"/>
      <c r="U45" s="325"/>
      <c r="V45" s="325"/>
      <c r="W45" s="325"/>
      <c r="X45" s="325"/>
      <c r="Y45" s="325"/>
      <c r="Z45" s="325"/>
      <c r="AA45" s="325"/>
      <c r="AB45" s="325"/>
      <c r="AC45" s="325"/>
      <c r="AD45" s="325"/>
      <c r="AE45" s="325"/>
      <c r="AF45" s="325"/>
      <c r="AG45" s="325"/>
      <c r="AH45" s="325"/>
      <c r="AI45" s="325"/>
      <c r="AJ45" s="325"/>
      <c r="AK45" s="325"/>
      <c r="AL45" s="325"/>
      <c r="AM45" s="325"/>
      <c r="AN45" s="325"/>
      <c r="AO45" s="325"/>
      <c r="AP45" s="325"/>
      <c r="AQ45" s="325"/>
      <c r="AR45" s="325"/>
      <c r="AS45" s="325"/>
      <c r="AT45" s="325"/>
      <c r="AU45" s="325"/>
      <c r="AV45" s="325"/>
      <c r="AW45" s="325"/>
      <c r="AX45" s="325"/>
      <c r="AY45" s="325"/>
      <c r="AZ45" s="325"/>
      <c r="BA45" s="325"/>
      <c r="BB45" s="325"/>
      <c r="BC45" s="325"/>
      <c r="BD45" s="325"/>
      <c r="BE45" s="325"/>
      <c r="BF45" s="325"/>
      <c r="BG45" s="325"/>
      <c r="BH45" s="325"/>
      <c r="BI45" s="325"/>
      <c r="BJ45" s="325"/>
      <c r="BK45" s="325"/>
      <c r="BL45" s="325"/>
      <c r="BM45" s="325"/>
      <c r="BN45" s="322">
        <v>684.24</v>
      </c>
      <c r="BO45" s="322">
        <v>1276.83</v>
      </c>
      <c r="BP45" s="322">
        <v>1184.46</v>
      </c>
      <c r="BQ45" s="322">
        <v>2043.55</v>
      </c>
      <c r="BR45" s="325"/>
      <c r="BS45" s="325"/>
      <c r="BT45" s="325"/>
      <c r="BU45" s="325"/>
      <c r="BV45" s="325"/>
      <c r="BW45" s="325"/>
      <c r="BX45" s="325"/>
      <c r="BY45" s="325"/>
      <c r="BZ45" s="329">
        <v>-281.66666666666669</v>
      </c>
      <c r="CA45" s="322">
        <v>-619.66666666666663</v>
      </c>
      <c r="CB45" s="322">
        <v>-511.33333333333331</v>
      </c>
      <c r="CC45" s="322">
        <v>-749.66666666666663</v>
      </c>
      <c r="CD45" s="325"/>
      <c r="CE45" s="325"/>
      <c r="CF45" s="325"/>
      <c r="CG45" s="325"/>
      <c r="CH45" s="325"/>
      <c r="CI45" s="325"/>
      <c r="CJ45" s="325"/>
      <c r="CK45" s="325"/>
      <c r="CL45" s="323">
        <v>33413.43</v>
      </c>
      <c r="CM45" s="325"/>
      <c r="CN45" s="329">
        <f t="shared" si="7"/>
        <v>-4916.666666666667</v>
      </c>
      <c r="CO45" s="323">
        <v>3607.58</v>
      </c>
      <c r="CP45" s="323">
        <v>0</v>
      </c>
      <c r="CQ45" s="323">
        <v>1377.2</v>
      </c>
      <c r="CR45" s="357"/>
      <c r="CS45" s="357"/>
      <c r="CT45" s="358"/>
      <c r="CU45" s="358"/>
      <c r="CV45" s="352"/>
      <c r="CW45" s="352"/>
      <c r="CX45" s="352"/>
      <c r="CY45" s="352"/>
    </row>
    <row r="46" spans="1:103" s="320" customFormat="1" ht="12" customHeight="1" x14ac:dyDescent="0.2">
      <c r="B46" s="321">
        <f t="shared" si="1"/>
        <v>43641</v>
      </c>
      <c r="C46" s="320">
        <v>62</v>
      </c>
      <c r="D46" s="320">
        <v>16</v>
      </c>
      <c r="E46" s="320">
        <v>5</v>
      </c>
      <c r="F46" s="320">
        <v>9</v>
      </c>
      <c r="G46" s="325"/>
      <c r="H46" s="325"/>
      <c r="I46" s="325"/>
      <c r="J46" s="325"/>
      <c r="K46" s="325"/>
      <c r="L46" s="325"/>
      <c r="M46" s="325"/>
      <c r="N46" s="325"/>
      <c r="O46" s="320">
        <f t="shared" si="0"/>
        <v>92</v>
      </c>
      <c r="P46" s="254">
        <v>145</v>
      </c>
      <c r="Q46" s="322">
        <f t="shared" si="6"/>
        <v>-51.215277777777779</v>
      </c>
      <c r="R46" s="325"/>
      <c r="S46" s="325"/>
      <c r="T46" s="325"/>
      <c r="U46" s="325"/>
      <c r="V46" s="325"/>
      <c r="W46" s="325"/>
      <c r="X46" s="325"/>
      <c r="Y46" s="325"/>
      <c r="Z46" s="325"/>
      <c r="AA46" s="325"/>
      <c r="AB46" s="325"/>
      <c r="AC46" s="325"/>
      <c r="AD46" s="325"/>
      <c r="AE46" s="325"/>
      <c r="AF46" s="325"/>
      <c r="AG46" s="325"/>
      <c r="AH46" s="325"/>
      <c r="AI46" s="325"/>
      <c r="AJ46" s="325"/>
      <c r="AK46" s="325"/>
      <c r="AL46" s="325"/>
      <c r="AM46" s="325"/>
      <c r="AN46" s="325"/>
      <c r="AO46" s="325"/>
      <c r="AP46" s="325"/>
      <c r="AQ46" s="325"/>
      <c r="AR46" s="325"/>
      <c r="AS46" s="325"/>
      <c r="AT46" s="325"/>
      <c r="AU46" s="325"/>
      <c r="AV46" s="325"/>
      <c r="AW46" s="325"/>
      <c r="AX46" s="325"/>
      <c r="AY46" s="325"/>
      <c r="AZ46" s="325"/>
      <c r="BA46" s="325"/>
      <c r="BB46" s="325"/>
      <c r="BC46" s="325"/>
      <c r="BD46" s="325"/>
      <c r="BE46" s="325"/>
      <c r="BF46" s="325"/>
      <c r="BG46" s="325"/>
      <c r="BH46" s="325"/>
      <c r="BI46" s="325"/>
      <c r="BJ46" s="325"/>
      <c r="BK46" s="325"/>
      <c r="BL46" s="325"/>
      <c r="BM46" s="325"/>
      <c r="BN46" s="322">
        <v>684.24</v>
      </c>
      <c r="BO46" s="322">
        <v>1276.83</v>
      </c>
      <c r="BP46" s="322">
        <v>1184.46</v>
      </c>
      <c r="BQ46" s="322">
        <v>2043.55</v>
      </c>
      <c r="BR46" s="325"/>
      <c r="BS46" s="325"/>
      <c r="BT46" s="325"/>
      <c r="BU46" s="325"/>
      <c r="BV46" s="325"/>
      <c r="BW46" s="325"/>
      <c r="BX46" s="325"/>
      <c r="BY46" s="325"/>
      <c r="BZ46" s="329">
        <v>-281.66666666666669</v>
      </c>
      <c r="CA46" s="322">
        <v>-619.66666666666663</v>
      </c>
      <c r="CB46" s="322">
        <v>-511.33333333333331</v>
      </c>
      <c r="CC46" s="322">
        <v>-749.66666666666663</v>
      </c>
      <c r="CD46" s="325"/>
      <c r="CE46" s="325"/>
      <c r="CF46" s="325"/>
      <c r="CG46" s="325"/>
      <c r="CH46" s="325"/>
      <c r="CI46" s="325"/>
      <c r="CJ46" s="325"/>
      <c r="CK46" s="325"/>
      <c r="CL46" s="323">
        <v>56115.92</v>
      </c>
      <c r="CM46" s="325"/>
      <c r="CN46" s="329">
        <f t="shared" si="7"/>
        <v>-4916.666666666667</v>
      </c>
      <c r="CO46" s="323">
        <v>5932.4100000000017</v>
      </c>
      <c r="CP46" s="323">
        <v>0</v>
      </c>
      <c r="CQ46" s="323">
        <v>2212.8000000000002</v>
      </c>
      <c r="CR46" s="357"/>
      <c r="CS46" s="357"/>
      <c r="CT46" s="358"/>
      <c r="CU46" s="358"/>
      <c r="CV46" s="352"/>
      <c r="CW46" s="352"/>
      <c r="CX46" s="352"/>
      <c r="CY46" s="352"/>
    </row>
    <row r="47" spans="1:103" s="320" customFormat="1" ht="12" customHeight="1" x14ac:dyDescent="0.2">
      <c r="A47" s="320" t="s">
        <v>166</v>
      </c>
      <c r="B47" s="321">
        <f t="shared" si="1"/>
        <v>43672</v>
      </c>
      <c r="C47" s="320">
        <v>63</v>
      </c>
      <c r="D47" s="320">
        <v>16</v>
      </c>
      <c r="E47" s="320">
        <v>5</v>
      </c>
      <c r="F47" s="320">
        <v>9</v>
      </c>
      <c r="G47" s="325"/>
      <c r="H47" s="325"/>
      <c r="I47" s="325"/>
      <c r="J47" s="325"/>
      <c r="K47" s="325"/>
      <c r="L47" s="325"/>
      <c r="M47" s="325"/>
      <c r="N47" s="325"/>
      <c r="O47" s="320">
        <f t="shared" si="0"/>
        <v>93</v>
      </c>
      <c r="P47" s="254">
        <v>146</v>
      </c>
      <c r="Q47" s="322">
        <f t="shared" si="6"/>
        <v>-53.44202898550725</v>
      </c>
      <c r="R47" s="325"/>
      <c r="S47" s="325"/>
      <c r="T47" s="325"/>
      <c r="U47" s="325"/>
      <c r="V47" s="325"/>
      <c r="W47" s="325"/>
      <c r="X47" s="325"/>
      <c r="Y47" s="325"/>
      <c r="Z47" s="325"/>
      <c r="AA47" s="325"/>
      <c r="AB47" s="325"/>
      <c r="AC47" s="325"/>
      <c r="AD47" s="325"/>
      <c r="AE47" s="325"/>
      <c r="AF47" s="325"/>
      <c r="AG47" s="325"/>
      <c r="AH47" s="325"/>
      <c r="AI47" s="325"/>
      <c r="AJ47" s="325"/>
      <c r="AK47" s="325"/>
      <c r="AL47" s="325"/>
      <c r="AM47" s="325"/>
      <c r="AN47" s="325"/>
      <c r="AO47" s="325"/>
      <c r="AP47" s="325"/>
      <c r="AQ47" s="325"/>
      <c r="AR47" s="325"/>
      <c r="AS47" s="325"/>
      <c r="AT47" s="325"/>
      <c r="AU47" s="325"/>
      <c r="AV47" s="325"/>
      <c r="AW47" s="325"/>
      <c r="AX47" s="325"/>
      <c r="AY47" s="325"/>
      <c r="AZ47" s="325"/>
      <c r="BA47" s="325"/>
      <c r="BB47" s="325"/>
      <c r="BC47" s="325"/>
      <c r="BD47" s="325"/>
      <c r="BE47" s="325"/>
      <c r="BF47" s="325"/>
      <c r="BG47" s="325"/>
      <c r="BH47" s="325"/>
      <c r="BI47" s="325"/>
      <c r="BJ47" s="325"/>
      <c r="BK47" s="325"/>
      <c r="BL47" s="325"/>
      <c r="BM47" s="325"/>
      <c r="BN47" s="322">
        <v>684.24</v>
      </c>
      <c r="BO47" s="322">
        <v>1276.83</v>
      </c>
      <c r="BP47" s="322">
        <v>1184.46</v>
      </c>
      <c r="BQ47" s="322">
        <v>2043.55</v>
      </c>
      <c r="BR47" s="325"/>
      <c r="BS47" s="325"/>
      <c r="BT47" s="325"/>
      <c r="BU47" s="325"/>
      <c r="BV47" s="325"/>
      <c r="BW47" s="325"/>
      <c r="BX47" s="325"/>
      <c r="BY47" s="325"/>
      <c r="BZ47" s="329">
        <v>-281.66666666666669</v>
      </c>
      <c r="CA47" s="322">
        <v>-619.66666666666663</v>
      </c>
      <c r="CB47" s="322">
        <v>-511.33333333333331</v>
      </c>
      <c r="CC47" s="322">
        <v>-749.66666666666663</v>
      </c>
      <c r="CD47" s="325"/>
      <c r="CE47" s="325"/>
      <c r="CF47" s="325"/>
      <c r="CG47" s="325"/>
      <c r="CH47" s="325"/>
      <c r="CI47" s="325"/>
      <c r="CJ47" s="325"/>
      <c r="CK47" s="325"/>
      <c r="CL47" s="323">
        <v>62891.25</v>
      </c>
      <c r="CM47" s="325"/>
      <c r="CN47" s="329">
        <f t="shared" si="7"/>
        <v>-4916.666666666667</v>
      </c>
      <c r="CO47" s="323">
        <v>2855.2099999999973</v>
      </c>
      <c r="CP47" s="323">
        <v>1895.45</v>
      </c>
      <c r="CQ47" s="323">
        <v>1263.5999999999999</v>
      </c>
      <c r="CR47" s="357"/>
      <c r="CS47" s="357"/>
      <c r="CT47" s="358"/>
      <c r="CU47" s="358"/>
      <c r="CV47" s="352"/>
      <c r="CW47" s="352"/>
      <c r="CX47" s="352"/>
      <c r="CY47" s="352"/>
    </row>
    <row r="48" spans="1:103" s="320" customFormat="1" ht="12" customHeight="1" x14ac:dyDescent="0.2">
      <c r="A48" s="322">
        <v>80000</v>
      </c>
      <c r="B48" s="321">
        <f t="shared" si="1"/>
        <v>43703</v>
      </c>
      <c r="C48" s="320">
        <v>58</v>
      </c>
      <c r="D48" s="320">
        <v>17</v>
      </c>
      <c r="E48" s="320">
        <v>5</v>
      </c>
      <c r="F48" s="320">
        <v>10</v>
      </c>
      <c r="G48" s="325"/>
      <c r="H48" s="325"/>
      <c r="I48" s="325"/>
      <c r="J48" s="325"/>
      <c r="K48" s="325"/>
      <c r="L48" s="325"/>
      <c r="M48" s="325"/>
      <c r="N48" s="325"/>
      <c r="O48" s="320">
        <f t="shared" si="0"/>
        <v>90</v>
      </c>
      <c r="P48" s="254">
        <v>147</v>
      </c>
      <c r="Q48" s="322">
        <f t="shared" si="6"/>
        <v>-53.44202898550725</v>
      </c>
      <c r="R48" s="325"/>
      <c r="S48" s="325"/>
      <c r="T48" s="325"/>
      <c r="U48" s="325"/>
      <c r="V48" s="325"/>
      <c r="W48" s="325"/>
      <c r="X48" s="325"/>
      <c r="Y48" s="325"/>
      <c r="Z48" s="325"/>
      <c r="AA48" s="325"/>
      <c r="AB48" s="325"/>
      <c r="AC48" s="325"/>
      <c r="AD48" s="325"/>
      <c r="AE48" s="325"/>
      <c r="AF48" s="325"/>
      <c r="AG48" s="325"/>
      <c r="AH48" s="325"/>
      <c r="AI48" s="325"/>
      <c r="AJ48" s="325"/>
      <c r="AK48" s="325"/>
      <c r="AL48" s="325"/>
      <c r="AM48" s="325"/>
      <c r="AN48" s="325"/>
      <c r="AO48" s="325"/>
      <c r="AP48" s="325"/>
      <c r="AQ48" s="325"/>
      <c r="AR48" s="325"/>
      <c r="AS48" s="325"/>
      <c r="AT48" s="325"/>
      <c r="AU48" s="325"/>
      <c r="AV48" s="325"/>
      <c r="AW48" s="325"/>
      <c r="AX48" s="325"/>
      <c r="AY48" s="325"/>
      <c r="AZ48" s="325"/>
      <c r="BA48" s="325"/>
      <c r="BB48" s="325"/>
      <c r="BC48" s="325"/>
      <c r="BD48" s="325"/>
      <c r="BE48" s="325"/>
      <c r="BF48" s="325"/>
      <c r="BG48" s="325"/>
      <c r="BH48" s="325"/>
      <c r="BI48" s="325"/>
      <c r="BJ48" s="325"/>
      <c r="BK48" s="325"/>
      <c r="BL48" s="325"/>
      <c r="BM48" s="325"/>
      <c r="BN48" s="322">
        <v>684.24</v>
      </c>
      <c r="BO48" s="322">
        <v>1276.83</v>
      </c>
      <c r="BP48" s="322">
        <v>1184.46</v>
      </c>
      <c r="BQ48" s="322">
        <v>2043.55</v>
      </c>
      <c r="BR48" s="325"/>
      <c r="BS48" s="325"/>
      <c r="BT48" s="325"/>
      <c r="BU48" s="325"/>
      <c r="BV48" s="325"/>
      <c r="BW48" s="325"/>
      <c r="BX48" s="325"/>
      <c r="BY48" s="325"/>
      <c r="BZ48" s="329">
        <v>-281.66666666666669</v>
      </c>
      <c r="CA48" s="322">
        <v>-619.66666666666663</v>
      </c>
      <c r="CB48" s="322">
        <v>-511.33333333333331</v>
      </c>
      <c r="CC48" s="322">
        <v>-749.66666666666663</v>
      </c>
      <c r="CD48" s="325"/>
      <c r="CE48" s="325"/>
      <c r="CF48" s="325"/>
      <c r="CG48" s="325"/>
      <c r="CH48" s="325"/>
      <c r="CI48" s="325"/>
      <c r="CJ48" s="325"/>
      <c r="CK48" s="325"/>
      <c r="CL48" s="323">
        <v>36135.94</v>
      </c>
      <c r="CM48" s="325"/>
      <c r="CN48" s="329">
        <f t="shared" si="7"/>
        <v>-4916.666666666667</v>
      </c>
      <c r="CO48" s="323">
        <v>3246.1299999999956</v>
      </c>
      <c r="CP48" s="323">
        <v>0</v>
      </c>
      <c r="CQ48" s="323">
        <v>1786.4</v>
      </c>
      <c r="CR48" s="357"/>
      <c r="CS48" s="357"/>
      <c r="CT48" s="358"/>
      <c r="CU48" s="358"/>
      <c r="CV48" s="352"/>
      <c r="CW48" s="352"/>
      <c r="CX48" s="352"/>
      <c r="CY48" s="352"/>
    </row>
    <row r="49" spans="1:103" s="320" customFormat="1" ht="12" customHeight="1" x14ac:dyDescent="0.2">
      <c r="B49" s="321">
        <f t="shared" si="1"/>
        <v>43734</v>
      </c>
      <c r="C49" s="320">
        <v>61</v>
      </c>
      <c r="D49" s="320">
        <v>16</v>
      </c>
      <c r="E49" s="320">
        <v>6</v>
      </c>
      <c r="F49" s="320">
        <v>10</v>
      </c>
      <c r="G49" s="325"/>
      <c r="H49" s="325"/>
      <c r="I49" s="325"/>
      <c r="J49" s="325"/>
      <c r="K49" s="325"/>
      <c r="L49" s="325"/>
      <c r="M49" s="325"/>
      <c r="N49" s="325"/>
      <c r="O49" s="320">
        <f t="shared" si="0"/>
        <v>93</v>
      </c>
      <c r="P49" s="254">
        <v>149</v>
      </c>
      <c r="Q49" s="322">
        <f t="shared" si="6"/>
        <v>-52.867383512544805</v>
      </c>
      <c r="R49" s="325"/>
      <c r="S49" s="325"/>
      <c r="T49" s="325"/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25"/>
      <c r="AF49" s="325"/>
      <c r="AG49" s="325"/>
      <c r="AH49" s="325"/>
      <c r="AI49" s="325"/>
      <c r="AJ49" s="325"/>
      <c r="AK49" s="325"/>
      <c r="AL49" s="325"/>
      <c r="AM49" s="325"/>
      <c r="AN49" s="325"/>
      <c r="AO49" s="325"/>
      <c r="AP49" s="325"/>
      <c r="AQ49" s="325"/>
      <c r="AR49" s="325"/>
      <c r="AS49" s="325"/>
      <c r="AT49" s="325"/>
      <c r="AU49" s="325"/>
      <c r="AV49" s="325"/>
      <c r="AW49" s="325"/>
      <c r="AX49" s="325"/>
      <c r="AY49" s="325"/>
      <c r="AZ49" s="325"/>
      <c r="BA49" s="325"/>
      <c r="BB49" s="325"/>
      <c r="BC49" s="325"/>
      <c r="BD49" s="325"/>
      <c r="BE49" s="325"/>
      <c r="BF49" s="325"/>
      <c r="BG49" s="325"/>
      <c r="BH49" s="325"/>
      <c r="BI49" s="325"/>
      <c r="BJ49" s="325"/>
      <c r="BK49" s="325"/>
      <c r="BL49" s="325"/>
      <c r="BM49" s="325"/>
      <c r="BN49" s="322">
        <v>684.24</v>
      </c>
      <c r="BO49" s="322">
        <v>1276.83</v>
      </c>
      <c r="BP49" s="322">
        <v>1184.46</v>
      </c>
      <c r="BQ49" s="322">
        <v>2043.55</v>
      </c>
      <c r="BR49" s="325"/>
      <c r="BS49" s="325"/>
      <c r="BT49" s="325"/>
      <c r="BU49" s="325"/>
      <c r="BV49" s="325"/>
      <c r="BW49" s="325"/>
      <c r="BX49" s="325"/>
      <c r="BY49" s="325"/>
      <c r="BZ49" s="329">
        <v>-281.66666666666669</v>
      </c>
      <c r="CA49" s="322">
        <v>-619.66666666666663</v>
      </c>
      <c r="CB49" s="322">
        <v>-511.33333333333331</v>
      </c>
      <c r="CC49" s="322">
        <v>-749.66666666666663</v>
      </c>
      <c r="CD49" s="325"/>
      <c r="CE49" s="325"/>
      <c r="CF49" s="325"/>
      <c r="CG49" s="325"/>
      <c r="CH49" s="325"/>
      <c r="CI49" s="325"/>
      <c r="CJ49" s="325"/>
      <c r="CK49" s="325"/>
      <c r="CL49" s="323">
        <v>43252.37</v>
      </c>
      <c r="CM49" s="325"/>
      <c r="CN49" s="329">
        <f t="shared" si="7"/>
        <v>-4916.666666666667</v>
      </c>
      <c r="CO49" s="323">
        <v>5361.4199999999964</v>
      </c>
      <c r="CP49" s="323">
        <v>1084.1200000000001</v>
      </c>
      <c r="CQ49" s="323">
        <v>485</v>
      </c>
      <c r="CR49" s="357"/>
      <c r="CS49" s="357"/>
      <c r="CT49" s="358"/>
      <c r="CU49" s="358"/>
      <c r="CV49" s="352"/>
      <c r="CW49" s="352"/>
      <c r="CX49" s="352"/>
      <c r="CY49" s="352"/>
    </row>
    <row r="50" spans="1:103" s="320" customFormat="1" ht="12" customHeight="1" x14ac:dyDescent="0.2">
      <c r="A50" s="320" t="s">
        <v>175</v>
      </c>
      <c r="B50" s="321">
        <f t="shared" si="1"/>
        <v>43765</v>
      </c>
      <c r="C50" s="320">
        <v>62</v>
      </c>
      <c r="D50" s="320">
        <v>16</v>
      </c>
      <c r="E50" s="320">
        <v>5</v>
      </c>
      <c r="F50" s="320">
        <v>9</v>
      </c>
      <c r="G50" s="325"/>
      <c r="H50" s="325"/>
      <c r="I50" s="325"/>
      <c r="J50" s="325"/>
      <c r="K50" s="325"/>
      <c r="L50" s="325"/>
      <c r="M50" s="325"/>
      <c r="N50" s="325"/>
      <c r="O50" s="320">
        <f t="shared" si="0"/>
        <v>92</v>
      </c>
      <c r="P50" s="254">
        <v>144</v>
      </c>
      <c r="Q50" s="322">
        <f t="shared" si="6"/>
        <v>-54.629629629629633</v>
      </c>
      <c r="R50" s="325"/>
      <c r="S50" s="325"/>
      <c r="T50" s="325"/>
      <c r="U50" s="325"/>
      <c r="V50" s="325"/>
      <c r="W50" s="325"/>
      <c r="X50" s="325"/>
      <c r="Y50" s="325"/>
      <c r="Z50" s="325"/>
      <c r="AA50" s="325"/>
      <c r="AB50" s="325"/>
      <c r="AC50" s="325"/>
      <c r="AD50" s="325"/>
      <c r="AE50" s="325"/>
      <c r="AF50" s="325"/>
      <c r="AG50" s="325"/>
      <c r="AH50" s="325"/>
      <c r="AI50" s="325"/>
      <c r="AJ50" s="325"/>
      <c r="AK50" s="325"/>
      <c r="AL50" s="325"/>
      <c r="AM50" s="325"/>
      <c r="AN50" s="325"/>
      <c r="AO50" s="325"/>
      <c r="AP50" s="325"/>
      <c r="AQ50" s="325"/>
      <c r="AR50" s="325"/>
      <c r="AS50" s="325"/>
      <c r="AT50" s="325"/>
      <c r="AU50" s="325"/>
      <c r="AV50" s="325"/>
      <c r="AW50" s="325"/>
      <c r="AX50" s="325"/>
      <c r="AY50" s="325"/>
      <c r="AZ50" s="325"/>
      <c r="BA50" s="325"/>
      <c r="BB50" s="325"/>
      <c r="BC50" s="325"/>
      <c r="BD50" s="325"/>
      <c r="BE50" s="325"/>
      <c r="BF50" s="325"/>
      <c r="BG50" s="325"/>
      <c r="BH50" s="325"/>
      <c r="BI50" s="325"/>
      <c r="BJ50" s="325"/>
      <c r="BK50" s="325"/>
      <c r="BL50" s="325"/>
      <c r="BM50" s="325"/>
      <c r="BN50" s="322">
        <v>684.24</v>
      </c>
      <c r="BO50" s="322">
        <v>1276.83</v>
      </c>
      <c r="BP50" s="322">
        <v>1184.46</v>
      </c>
      <c r="BQ50" s="322">
        <v>2043.55</v>
      </c>
      <c r="BR50" s="325"/>
      <c r="BS50" s="325"/>
      <c r="BT50" s="325"/>
      <c r="BU50" s="325"/>
      <c r="BV50" s="325"/>
      <c r="BW50" s="325"/>
      <c r="BX50" s="325"/>
      <c r="BY50" s="325"/>
      <c r="BZ50" s="329">
        <v>-281.66666666666669</v>
      </c>
      <c r="CA50" s="322">
        <v>-619.66666666666663</v>
      </c>
      <c r="CB50" s="322">
        <v>-511.33333333333331</v>
      </c>
      <c r="CC50" s="322">
        <v>-749.66666666666663</v>
      </c>
      <c r="CD50" s="325"/>
      <c r="CE50" s="325"/>
      <c r="CF50" s="325"/>
      <c r="CG50" s="325"/>
      <c r="CH50" s="325"/>
      <c r="CI50" s="325"/>
      <c r="CJ50" s="325"/>
      <c r="CK50" s="325"/>
      <c r="CL50" s="323">
        <v>87532.6</v>
      </c>
      <c r="CM50" s="325"/>
      <c r="CN50" s="329">
        <f t="shared" si="7"/>
        <v>-4916.666666666667</v>
      </c>
      <c r="CO50" s="323">
        <v>11244.819999999998</v>
      </c>
      <c r="CP50" s="323">
        <v>148.80999999999995</v>
      </c>
      <c r="CQ50" s="323">
        <v>1923.2</v>
      </c>
      <c r="CR50" s="357"/>
      <c r="CS50" s="357"/>
      <c r="CT50" s="358"/>
      <c r="CU50" s="358"/>
      <c r="CV50" s="352"/>
      <c r="CW50" s="352"/>
      <c r="CX50" s="352"/>
      <c r="CY50" s="352"/>
    </row>
    <row r="51" spans="1:103" s="320" customFormat="1" ht="12" customHeight="1" x14ac:dyDescent="0.2">
      <c r="B51" s="321">
        <f t="shared" si="1"/>
        <v>43796</v>
      </c>
      <c r="C51" s="320">
        <v>66</v>
      </c>
      <c r="D51" s="320">
        <v>14</v>
      </c>
      <c r="E51" s="320">
        <v>5</v>
      </c>
      <c r="F51" s="320">
        <v>9</v>
      </c>
      <c r="G51" s="325"/>
      <c r="H51" s="325"/>
      <c r="I51" s="325"/>
      <c r="J51" s="325"/>
      <c r="K51" s="325"/>
      <c r="L51" s="325"/>
      <c r="M51" s="325"/>
      <c r="N51" s="325"/>
      <c r="O51" s="320">
        <f t="shared" si="0"/>
        <v>94</v>
      </c>
      <c r="P51" s="254">
        <v>144</v>
      </c>
      <c r="Q51" s="322">
        <f t="shared" si="6"/>
        <v>-52.867383512544805</v>
      </c>
      <c r="R51" s="325"/>
      <c r="S51" s="325"/>
      <c r="T51" s="325"/>
      <c r="U51" s="325"/>
      <c r="V51" s="325"/>
      <c r="W51" s="325"/>
      <c r="X51" s="325"/>
      <c r="Y51" s="325"/>
      <c r="Z51" s="325"/>
      <c r="AA51" s="325"/>
      <c r="AB51" s="325"/>
      <c r="AC51" s="325"/>
      <c r="AD51" s="325"/>
      <c r="AE51" s="325"/>
      <c r="AF51" s="325"/>
      <c r="AG51" s="325"/>
      <c r="AH51" s="325"/>
      <c r="AI51" s="325"/>
      <c r="AJ51" s="325"/>
      <c r="AK51" s="325"/>
      <c r="AL51" s="325"/>
      <c r="AM51" s="325"/>
      <c r="AN51" s="325"/>
      <c r="AO51" s="325"/>
      <c r="AP51" s="325"/>
      <c r="AQ51" s="325"/>
      <c r="AR51" s="325"/>
      <c r="AS51" s="325"/>
      <c r="AT51" s="325"/>
      <c r="AU51" s="325"/>
      <c r="AV51" s="325"/>
      <c r="AW51" s="325"/>
      <c r="AX51" s="325"/>
      <c r="AY51" s="325"/>
      <c r="AZ51" s="325"/>
      <c r="BA51" s="325"/>
      <c r="BB51" s="325"/>
      <c r="BC51" s="325"/>
      <c r="BD51" s="325"/>
      <c r="BE51" s="325"/>
      <c r="BF51" s="325"/>
      <c r="BG51" s="325"/>
      <c r="BH51" s="325"/>
      <c r="BI51" s="325"/>
      <c r="BJ51" s="325"/>
      <c r="BK51" s="325"/>
      <c r="BL51" s="325"/>
      <c r="BM51" s="325"/>
      <c r="BN51" s="322">
        <v>684.24</v>
      </c>
      <c r="BO51" s="322">
        <v>1276.83</v>
      </c>
      <c r="BP51" s="322">
        <v>1184.46</v>
      </c>
      <c r="BQ51" s="322">
        <v>2043.55</v>
      </c>
      <c r="BR51" s="325"/>
      <c r="BS51" s="325"/>
      <c r="BT51" s="325"/>
      <c r="BU51" s="325"/>
      <c r="BV51" s="325"/>
      <c r="BW51" s="325"/>
      <c r="BX51" s="325"/>
      <c r="BY51" s="325"/>
      <c r="BZ51" s="329">
        <v>-281.66666666666669</v>
      </c>
      <c r="CA51" s="322">
        <v>-619.66666666666663</v>
      </c>
      <c r="CB51" s="322">
        <v>-511.33333333333331</v>
      </c>
      <c r="CC51" s="322">
        <v>-749.66666666666663</v>
      </c>
      <c r="CD51" s="325"/>
      <c r="CE51" s="325"/>
      <c r="CF51" s="325"/>
      <c r="CG51" s="325"/>
      <c r="CH51" s="325"/>
      <c r="CI51" s="325"/>
      <c r="CJ51" s="325"/>
      <c r="CK51" s="325"/>
      <c r="CL51" s="323">
        <v>42831.49</v>
      </c>
      <c r="CM51" s="325"/>
      <c r="CN51" s="329">
        <f t="shared" si="7"/>
        <v>-4916.666666666667</v>
      </c>
      <c r="CO51" s="323">
        <v>2332.8700000000026</v>
      </c>
      <c r="CP51" s="323">
        <v>102.90000000000009</v>
      </c>
      <c r="CQ51" s="323">
        <v>2826</v>
      </c>
      <c r="CR51" s="357"/>
      <c r="CS51" s="357"/>
      <c r="CT51" s="358"/>
      <c r="CU51" s="358"/>
      <c r="CV51" s="352"/>
      <c r="CW51" s="352"/>
      <c r="CX51" s="352"/>
      <c r="CY51" s="352"/>
    </row>
    <row r="52" spans="1:103" s="320" customFormat="1" ht="12" customHeight="1" x14ac:dyDescent="0.2">
      <c r="B52" s="321">
        <f t="shared" si="1"/>
        <v>43827</v>
      </c>
      <c r="C52" s="320">
        <v>64</v>
      </c>
      <c r="D52" s="320">
        <v>15</v>
      </c>
      <c r="E52" s="320">
        <v>5</v>
      </c>
      <c r="F52" s="320">
        <v>8</v>
      </c>
      <c r="G52" s="325"/>
      <c r="H52" s="325"/>
      <c r="I52" s="325"/>
      <c r="J52" s="325"/>
      <c r="K52" s="325"/>
      <c r="L52" s="325"/>
      <c r="M52" s="325"/>
      <c r="N52" s="325"/>
      <c r="O52" s="320">
        <f t="shared" si="0"/>
        <v>92</v>
      </c>
      <c r="P52" s="254">
        <v>140</v>
      </c>
      <c r="Q52" s="322">
        <f t="shared" si="6"/>
        <v>-53.44202898550725</v>
      </c>
      <c r="R52" s="325"/>
      <c r="S52" s="325"/>
      <c r="T52" s="325"/>
      <c r="U52" s="325"/>
      <c r="V52" s="325"/>
      <c r="W52" s="325"/>
      <c r="X52" s="325"/>
      <c r="Y52" s="325"/>
      <c r="Z52" s="325"/>
      <c r="AA52" s="325"/>
      <c r="AB52" s="325"/>
      <c r="AC52" s="325"/>
      <c r="AD52" s="325"/>
      <c r="AE52" s="325"/>
      <c r="AF52" s="325"/>
      <c r="AG52" s="325"/>
      <c r="AH52" s="325"/>
      <c r="AI52" s="325"/>
      <c r="AJ52" s="325"/>
      <c r="AK52" s="325"/>
      <c r="AL52" s="325"/>
      <c r="AM52" s="325"/>
      <c r="AN52" s="325"/>
      <c r="AO52" s="325"/>
      <c r="AP52" s="325"/>
      <c r="AQ52" s="325"/>
      <c r="AR52" s="325"/>
      <c r="AS52" s="325"/>
      <c r="AT52" s="325"/>
      <c r="AU52" s="325"/>
      <c r="AV52" s="325"/>
      <c r="AW52" s="325"/>
      <c r="AX52" s="325"/>
      <c r="AY52" s="325"/>
      <c r="AZ52" s="325"/>
      <c r="BA52" s="325"/>
      <c r="BB52" s="325"/>
      <c r="BC52" s="325"/>
      <c r="BD52" s="325"/>
      <c r="BE52" s="325"/>
      <c r="BF52" s="325"/>
      <c r="BG52" s="325"/>
      <c r="BH52" s="325"/>
      <c r="BI52" s="325"/>
      <c r="BJ52" s="325"/>
      <c r="BK52" s="325"/>
      <c r="BL52" s="325"/>
      <c r="BM52" s="325"/>
      <c r="BN52" s="322">
        <v>684.24</v>
      </c>
      <c r="BO52" s="322">
        <v>1276.83</v>
      </c>
      <c r="BP52" s="322">
        <v>1184.46</v>
      </c>
      <c r="BQ52" s="322">
        <v>2043.55</v>
      </c>
      <c r="BR52" s="325"/>
      <c r="BS52" s="325"/>
      <c r="BT52" s="325"/>
      <c r="BU52" s="325"/>
      <c r="BV52" s="325"/>
      <c r="BW52" s="325"/>
      <c r="BX52" s="325"/>
      <c r="BY52" s="325"/>
      <c r="BZ52" s="329">
        <f>-65*52/12</f>
        <v>-281.66666666666669</v>
      </c>
      <c r="CA52" s="322">
        <f>-143*52/12</f>
        <v>-619.66666666666663</v>
      </c>
      <c r="CB52" s="322">
        <f>-118*52/12</f>
        <v>-511.33333333333331</v>
      </c>
      <c r="CC52" s="322">
        <f>-173*52/12</f>
        <v>-749.66666666666663</v>
      </c>
      <c r="CD52" s="325"/>
      <c r="CE52" s="325"/>
      <c r="CF52" s="325"/>
      <c r="CG52" s="325"/>
      <c r="CH52" s="325"/>
      <c r="CI52" s="325"/>
      <c r="CJ52" s="325"/>
      <c r="CK52" s="325"/>
      <c r="CL52" s="323">
        <v>101664.88</v>
      </c>
      <c r="CM52" s="325"/>
      <c r="CN52" s="329">
        <f t="shared" si="7"/>
        <v>-4916.666666666667</v>
      </c>
      <c r="CO52" s="323">
        <v>5818.5599999999959</v>
      </c>
      <c r="CP52" s="323">
        <v>1669.140000000001</v>
      </c>
      <c r="CQ52" s="323">
        <v>2224.3000000000002</v>
      </c>
      <c r="CR52" s="357"/>
      <c r="CS52" s="357"/>
      <c r="CT52" s="358"/>
      <c r="CU52" s="358"/>
      <c r="CV52" s="352"/>
      <c r="CW52" s="352"/>
      <c r="CX52" s="352"/>
      <c r="CY52" s="352"/>
    </row>
    <row r="53" spans="1:103" s="337" customFormat="1" ht="12" customHeight="1" x14ac:dyDescent="0.2">
      <c r="A53" s="337" t="s">
        <v>171</v>
      </c>
      <c r="B53" s="338">
        <f t="shared" si="1"/>
        <v>43858</v>
      </c>
      <c r="C53" s="337">
        <v>63</v>
      </c>
      <c r="D53" s="337">
        <v>17</v>
      </c>
      <c r="E53" s="337">
        <v>3</v>
      </c>
      <c r="F53" s="337">
        <v>9</v>
      </c>
      <c r="G53" s="339"/>
      <c r="H53" s="339"/>
      <c r="I53" s="339"/>
      <c r="J53" s="339"/>
      <c r="K53" s="339"/>
      <c r="L53" s="339"/>
      <c r="M53" s="339"/>
      <c r="N53" s="339"/>
      <c r="O53" s="337">
        <f t="shared" si="0"/>
        <v>92</v>
      </c>
      <c r="P53" s="345"/>
      <c r="Q53" s="341">
        <f t="shared" si="6"/>
        <v>0</v>
      </c>
      <c r="R53" s="342">
        <v>19.489999999999998</v>
      </c>
      <c r="S53" s="342">
        <v>36.130000000000003</v>
      </c>
      <c r="T53" s="342">
        <v>32.22</v>
      </c>
      <c r="U53" s="342">
        <v>54.33</v>
      </c>
      <c r="V53" s="346"/>
      <c r="W53" s="346"/>
      <c r="X53" s="346"/>
      <c r="Y53" s="346"/>
      <c r="Z53" s="346"/>
      <c r="AA53" s="346"/>
      <c r="AB53" s="346"/>
      <c r="AC53" s="346"/>
      <c r="AD53" s="342">
        <v>216.75</v>
      </c>
      <c r="AE53" s="342">
        <v>401.85</v>
      </c>
      <c r="AF53" s="342">
        <v>358.28</v>
      </c>
      <c r="AG53" s="342">
        <v>604.28</v>
      </c>
      <c r="AH53" s="346"/>
      <c r="AI53" s="346"/>
      <c r="AJ53" s="346"/>
      <c r="AK53" s="346"/>
      <c r="AL53" s="346"/>
      <c r="AM53" s="346"/>
      <c r="AN53" s="346"/>
      <c r="AO53" s="346"/>
      <c r="AP53" s="342">
        <v>37.74</v>
      </c>
      <c r="AQ53" s="342">
        <v>69.97</v>
      </c>
      <c r="AR53" s="342">
        <v>62.38</v>
      </c>
      <c r="AS53" s="342">
        <v>105.22</v>
      </c>
      <c r="AT53" s="346"/>
      <c r="AU53" s="346"/>
      <c r="AV53" s="346"/>
      <c r="AW53" s="346"/>
      <c r="AX53" s="346"/>
      <c r="AY53" s="346"/>
      <c r="AZ53" s="346"/>
      <c r="BA53" s="346"/>
      <c r="BB53" s="342">
        <v>320.89</v>
      </c>
      <c r="BC53" s="342">
        <v>594.91999999999996</v>
      </c>
      <c r="BD53" s="342">
        <v>530.42999999999995</v>
      </c>
      <c r="BE53" s="342">
        <v>894.64</v>
      </c>
      <c r="BF53" s="339"/>
      <c r="BG53" s="339"/>
      <c r="BH53" s="339"/>
      <c r="BI53" s="339"/>
      <c r="BJ53" s="339"/>
      <c r="BK53" s="339"/>
      <c r="BL53" s="339"/>
      <c r="BM53" s="339"/>
      <c r="BN53" s="342">
        <v>652.16</v>
      </c>
      <c r="BO53" s="342">
        <v>1217.45</v>
      </c>
      <c r="BP53" s="342">
        <v>1097.8900000000001</v>
      </c>
      <c r="BQ53" s="342">
        <v>1773.02</v>
      </c>
      <c r="BR53" s="339"/>
      <c r="BS53" s="339"/>
      <c r="BT53" s="339"/>
      <c r="BU53" s="339"/>
      <c r="BV53" s="339"/>
      <c r="BW53" s="339"/>
      <c r="BX53" s="339"/>
      <c r="BY53" s="339"/>
      <c r="BZ53" s="342">
        <f t="shared" ref="BZ53:BZ63" si="8">-68*52/12</f>
        <v>-294.66666666666669</v>
      </c>
      <c r="CA53" s="342">
        <f t="shared" ref="CA53:CA63" si="9">-145*52/12</f>
        <v>-628.33333333333337</v>
      </c>
      <c r="CB53" s="342">
        <f t="shared" ref="CB53:CB63" si="10">-120*52/12</f>
        <v>-520</v>
      </c>
      <c r="CC53" s="342">
        <f t="shared" ref="CC53:CC63" si="11">-175*52/12</f>
        <v>-758.33333333333337</v>
      </c>
      <c r="CD53" s="339"/>
      <c r="CE53" s="339"/>
      <c r="CF53" s="339"/>
      <c r="CG53" s="339"/>
      <c r="CH53" s="339"/>
      <c r="CI53" s="339"/>
      <c r="CJ53" s="339"/>
      <c r="CK53" s="339"/>
      <c r="CL53" s="343">
        <v>6709.87</v>
      </c>
      <c r="CM53" s="343">
        <v>31105.18</v>
      </c>
      <c r="CN53" s="341">
        <v>0</v>
      </c>
      <c r="CO53" s="343">
        <v>0</v>
      </c>
      <c r="CP53" s="343">
        <v>0</v>
      </c>
      <c r="CQ53" s="343">
        <v>1529.3</v>
      </c>
      <c r="CR53" s="353"/>
      <c r="CS53" s="353"/>
      <c r="CT53" s="353"/>
      <c r="CU53" s="353"/>
      <c r="CV53" s="354"/>
      <c r="CW53" s="354"/>
      <c r="CX53" s="354"/>
      <c r="CY53" s="354"/>
    </row>
    <row r="54" spans="1:103" s="320" customFormat="1" ht="12" customHeight="1" x14ac:dyDescent="0.2">
      <c r="A54" s="320" t="s">
        <v>176</v>
      </c>
      <c r="B54" s="321">
        <f t="shared" si="1"/>
        <v>43889</v>
      </c>
      <c r="C54" s="320">
        <v>66</v>
      </c>
      <c r="D54" s="320">
        <v>17</v>
      </c>
      <c r="E54" s="320">
        <v>4</v>
      </c>
      <c r="F54" s="320">
        <v>8</v>
      </c>
      <c r="G54" s="325"/>
      <c r="H54" s="325"/>
      <c r="I54" s="325"/>
      <c r="J54" s="325"/>
      <c r="K54" s="325"/>
      <c r="L54" s="325"/>
      <c r="M54" s="325"/>
      <c r="N54" s="325"/>
      <c r="O54" s="320">
        <f t="shared" si="0"/>
        <v>95</v>
      </c>
      <c r="P54" s="333"/>
      <c r="Q54" s="322">
        <f t="shared" si="6"/>
        <v>0</v>
      </c>
      <c r="R54" s="329">
        <v>19.489999999999998</v>
      </c>
      <c r="S54" s="329">
        <v>36.130000000000003</v>
      </c>
      <c r="T54" s="329">
        <v>32.22</v>
      </c>
      <c r="U54" s="329">
        <v>54.33</v>
      </c>
      <c r="V54" s="334"/>
      <c r="W54" s="334"/>
      <c r="X54" s="334"/>
      <c r="Y54" s="334"/>
      <c r="Z54" s="334"/>
      <c r="AA54" s="334"/>
      <c r="AB54" s="334"/>
      <c r="AC54" s="334"/>
      <c r="AD54" s="329">
        <v>216.75</v>
      </c>
      <c r="AE54" s="329">
        <v>401.85</v>
      </c>
      <c r="AF54" s="329">
        <v>358.28</v>
      </c>
      <c r="AG54" s="329">
        <v>604.28</v>
      </c>
      <c r="AH54" s="334"/>
      <c r="AI54" s="334"/>
      <c r="AJ54" s="334"/>
      <c r="AK54" s="334"/>
      <c r="AL54" s="334"/>
      <c r="AM54" s="334"/>
      <c r="AN54" s="334"/>
      <c r="AO54" s="334"/>
      <c r="AP54" s="329">
        <v>37.74</v>
      </c>
      <c r="AQ54" s="329">
        <v>69.97</v>
      </c>
      <c r="AR54" s="329">
        <v>62.38</v>
      </c>
      <c r="AS54" s="329">
        <v>105.22</v>
      </c>
      <c r="AT54" s="334"/>
      <c r="AU54" s="334"/>
      <c r="AV54" s="334"/>
      <c r="AW54" s="334"/>
      <c r="AX54" s="334"/>
      <c r="AY54" s="334"/>
      <c r="AZ54" s="334"/>
      <c r="BA54" s="334"/>
      <c r="BB54" s="329">
        <v>320.89</v>
      </c>
      <c r="BC54" s="329">
        <v>594.91999999999996</v>
      </c>
      <c r="BD54" s="329">
        <v>530.42999999999995</v>
      </c>
      <c r="BE54" s="329">
        <v>894.64</v>
      </c>
      <c r="BF54" s="325"/>
      <c r="BG54" s="325"/>
      <c r="BH54" s="325"/>
      <c r="BI54" s="325"/>
      <c r="BJ54" s="325"/>
      <c r="BK54" s="325"/>
      <c r="BL54" s="325"/>
      <c r="BM54" s="325"/>
      <c r="BN54" s="329">
        <v>652.16</v>
      </c>
      <c r="BO54" s="329">
        <v>1217.45</v>
      </c>
      <c r="BP54" s="329">
        <v>1097.8900000000001</v>
      </c>
      <c r="BQ54" s="329">
        <v>1773.02</v>
      </c>
      <c r="BR54" s="325"/>
      <c r="BS54" s="325"/>
      <c r="BT54" s="325"/>
      <c r="BU54" s="325"/>
      <c r="BV54" s="325"/>
      <c r="BW54" s="325"/>
      <c r="BX54" s="325"/>
      <c r="BY54" s="325"/>
      <c r="BZ54" s="329">
        <f t="shared" si="8"/>
        <v>-294.66666666666669</v>
      </c>
      <c r="CA54" s="329">
        <f t="shared" si="9"/>
        <v>-628.33333333333337</v>
      </c>
      <c r="CB54" s="329">
        <f t="shared" si="10"/>
        <v>-520</v>
      </c>
      <c r="CC54" s="329">
        <f t="shared" si="11"/>
        <v>-758.33333333333337</v>
      </c>
      <c r="CD54" s="325"/>
      <c r="CE54" s="325"/>
      <c r="CF54" s="325"/>
      <c r="CG54" s="325"/>
      <c r="CH54" s="325"/>
      <c r="CI54" s="325"/>
      <c r="CJ54" s="325"/>
      <c r="CK54" s="325"/>
      <c r="CL54" s="323">
        <v>86767.4</v>
      </c>
      <c r="CM54" s="323">
        <v>776.59</v>
      </c>
      <c r="CN54" s="322">
        <v>0</v>
      </c>
      <c r="CO54" s="323">
        <v>6607.73</v>
      </c>
      <c r="CP54" s="323">
        <v>0</v>
      </c>
      <c r="CQ54" s="323">
        <v>3800</v>
      </c>
      <c r="CR54" s="351"/>
      <c r="CS54" s="351"/>
      <c r="CT54" s="351"/>
      <c r="CU54" s="351"/>
      <c r="CV54" s="352"/>
      <c r="CW54" s="352"/>
      <c r="CX54" s="352"/>
      <c r="CY54" s="352"/>
    </row>
    <row r="55" spans="1:103" s="320" customFormat="1" ht="12" customHeight="1" x14ac:dyDescent="0.2">
      <c r="B55" s="321">
        <f t="shared" si="1"/>
        <v>43920</v>
      </c>
      <c r="C55" s="320">
        <v>66</v>
      </c>
      <c r="D55" s="320">
        <v>17</v>
      </c>
      <c r="E55" s="320">
        <v>5</v>
      </c>
      <c r="F55" s="320">
        <v>8</v>
      </c>
      <c r="G55" s="325"/>
      <c r="H55" s="325"/>
      <c r="I55" s="325"/>
      <c r="J55" s="325"/>
      <c r="K55" s="325"/>
      <c r="L55" s="325"/>
      <c r="M55" s="325"/>
      <c r="N55" s="325"/>
      <c r="O55" s="320">
        <f t="shared" si="0"/>
        <v>96</v>
      </c>
      <c r="P55" s="333"/>
      <c r="Q55" s="322">
        <f t="shared" si="6"/>
        <v>0</v>
      </c>
      <c r="R55" s="329">
        <v>19.489999999999998</v>
      </c>
      <c r="S55" s="329">
        <v>36.130000000000003</v>
      </c>
      <c r="T55" s="329">
        <v>32.22</v>
      </c>
      <c r="U55" s="329">
        <v>54.33</v>
      </c>
      <c r="V55" s="334"/>
      <c r="W55" s="334"/>
      <c r="X55" s="334"/>
      <c r="Y55" s="334"/>
      <c r="Z55" s="334"/>
      <c r="AA55" s="334"/>
      <c r="AB55" s="334"/>
      <c r="AC55" s="334"/>
      <c r="AD55" s="329">
        <v>216.75</v>
      </c>
      <c r="AE55" s="329">
        <v>401.85</v>
      </c>
      <c r="AF55" s="329">
        <v>358.28</v>
      </c>
      <c r="AG55" s="329">
        <v>604.28</v>
      </c>
      <c r="AH55" s="334"/>
      <c r="AI55" s="334"/>
      <c r="AJ55" s="334"/>
      <c r="AK55" s="334"/>
      <c r="AL55" s="334"/>
      <c r="AM55" s="334"/>
      <c r="AN55" s="334"/>
      <c r="AO55" s="334"/>
      <c r="AP55" s="329">
        <v>37.74</v>
      </c>
      <c r="AQ55" s="329">
        <v>69.97</v>
      </c>
      <c r="AR55" s="329">
        <v>62.38</v>
      </c>
      <c r="AS55" s="329">
        <v>105.22</v>
      </c>
      <c r="AT55" s="334"/>
      <c r="AU55" s="334"/>
      <c r="AV55" s="334"/>
      <c r="AW55" s="334"/>
      <c r="AX55" s="334"/>
      <c r="AY55" s="334"/>
      <c r="AZ55" s="334"/>
      <c r="BA55" s="334"/>
      <c r="BB55" s="329">
        <v>320.89</v>
      </c>
      <c r="BC55" s="329">
        <v>594.91999999999996</v>
      </c>
      <c r="BD55" s="329">
        <v>530.42999999999995</v>
      </c>
      <c r="BE55" s="329">
        <v>894.64</v>
      </c>
      <c r="BF55" s="325"/>
      <c r="BG55" s="325"/>
      <c r="BH55" s="325"/>
      <c r="BI55" s="325"/>
      <c r="BJ55" s="325"/>
      <c r="BK55" s="325"/>
      <c r="BL55" s="325"/>
      <c r="BM55" s="325"/>
      <c r="BN55" s="329">
        <v>652.16</v>
      </c>
      <c r="BO55" s="329">
        <v>1217.45</v>
      </c>
      <c r="BP55" s="329">
        <v>1097.8900000000001</v>
      </c>
      <c r="BQ55" s="329">
        <v>1773.02</v>
      </c>
      <c r="BR55" s="325"/>
      <c r="BS55" s="325"/>
      <c r="BT55" s="325"/>
      <c r="BU55" s="325"/>
      <c r="BV55" s="325"/>
      <c r="BW55" s="325"/>
      <c r="BX55" s="325"/>
      <c r="BY55" s="325"/>
      <c r="BZ55" s="329">
        <f t="shared" si="8"/>
        <v>-294.66666666666669</v>
      </c>
      <c r="CA55" s="329">
        <f t="shared" si="9"/>
        <v>-628.33333333333337</v>
      </c>
      <c r="CB55" s="329">
        <f t="shared" si="10"/>
        <v>-520</v>
      </c>
      <c r="CC55" s="329">
        <f t="shared" si="11"/>
        <v>-758.33333333333337</v>
      </c>
      <c r="CD55" s="325"/>
      <c r="CE55" s="325"/>
      <c r="CF55" s="325"/>
      <c r="CG55" s="325"/>
      <c r="CH55" s="325"/>
      <c r="CI55" s="325"/>
      <c r="CJ55" s="325"/>
      <c r="CK55" s="325"/>
      <c r="CL55" s="323">
        <v>29774.06</v>
      </c>
      <c r="CM55" s="323">
        <v>99.55</v>
      </c>
      <c r="CN55" s="322">
        <v>0</v>
      </c>
      <c r="CO55" s="323">
        <v>7712.5600000000013</v>
      </c>
      <c r="CP55" s="323">
        <v>0</v>
      </c>
      <c r="CQ55" s="323">
        <v>1171</v>
      </c>
      <c r="CR55" s="351"/>
      <c r="CS55" s="351"/>
      <c r="CT55" s="351"/>
      <c r="CU55" s="351"/>
      <c r="CV55" s="352"/>
      <c r="CW55" s="352"/>
      <c r="CX55" s="352"/>
      <c r="CY55" s="352"/>
    </row>
    <row r="56" spans="1:103" s="320" customFormat="1" ht="12" customHeight="1" x14ac:dyDescent="0.2">
      <c r="A56" s="320" t="s">
        <v>173</v>
      </c>
      <c r="B56" s="321">
        <f t="shared" si="1"/>
        <v>43951</v>
      </c>
      <c r="C56" s="320">
        <v>69</v>
      </c>
      <c r="D56" s="320">
        <v>14</v>
      </c>
      <c r="E56" s="320">
        <v>5</v>
      </c>
      <c r="F56" s="320">
        <v>8</v>
      </c>
      <c r="G56" s="325"/>
      <c r="H56" s="325"/>
      <c r="I56" s="325"/>
      <c r="J56" s="325"/>
      <c r="K56" s="325"/>
      <c r="L56" s="325"/>
      <c r="M56" s="325"/>
      <c r="N56" s="325"/>
      <c r="O56" s="320">
        <f t="shared" si="0"/>
        <v>96</v>
      </c>
      <c r="P56" s="333"/>
      <c r="Q56" s="322">
        <f t="shared" si="6"/>
        <v>0</v>
      </c>
      <c r="R56" s="329">
        <v>19.489999999999998</v>
      </c>
      <c r="S56" s="329">
        <v>36.130000000000003</v>
      </c>
      <c r="T56" s="329">
        <v>32.22</v>
      </c>
      <c r="U56" s="329">
        <v>54.33</v>
      </c>
      <c r="V56" s="334"/>
      <c r="W56" s="334"/>
      <c r="X56" s="334"/>
      <c r="Y56" s="334"/>
      <c r="Z56" s="334"/>
      <c r="AA56" s="334"/>
      <c r="AB56" s="334"/>
      <c r="AC56" s="334"/>
      <c r="AD56" s="329">
        <v>216.75</v>
      </c>
      <c r="AE56" s="329">
        <v>401.85</v>
      </c>
      <c r="AF56" s="329">
        <v>358.28</v>
      </c>
      <c r="AG56" s="329">
        <v>604.28</v>
      </c>
      <c r="AH56" s="334"/>
      <c r="AI56" s="334"/>
      <c r="AJ56" s="334"/>
      <c r="AK56" s="334"/>
      <c r="AL56" s="334"/>
      <c r="AM56" s="334"/>
      <c r="AN56" s="334"/>
      <c r="AO56" s="334"/>
      <c r="AP56" s="329">
        <v>37.74</v>
      </c>
      <c r="AQ56" s="329">
        <v>69.97</v>
      </c>
      <c r="AR56" s="329">
        <v>62.38</v>
      </c>
      <c r="AS56" s="329">
        <v>105.22</v>
      </c>
      <c r="AT56" s="334"/>
      <c r="AU56" s="334"/>
      <c r="AV56" s="334"/>
      <c r="AW56" s="334"/>
      <c r="AX56" s="334"/>
      <c r="AY56" s="334"/>
      <c r="AZ56" s="334"/>
      <c r="BA56" s="334"/>
      <c r="BB56" s="329">
        <v>320.89</v>
      </c>
      <c r="BC56" s="329">
        <v>594.91999999999996</v>
      </c>
      <c r="BD56" s="329">
        <v>530.42999999999995</v>
      </c>
      <c r="BE56" s="329">
        <v>894.64</v>
      </c>
      <c r="BF56" s="325"/>
      <c r="BG56" s="325"/>
      <c r="BH56" s="325"/>
      <c r="BI56" s="325"/>
      <c r="BJ56" s="325"/>
      <c r="BK56" s="325"/>
      <c r="BL56" s="325"/>
      <c r="BM56" s="325"/>
      <c r="BN56" s="329">
        <v>652.16</v>
      </c>
      <c r="BO56" s="329">
        <v>1217.45</v>
      </c>
      <c r="BP56" s="329">
        <v>1097.8900000000001</v>
      </c>
      <c r="BQ56" s="329">
        <v>1773.02</v>
      </c>
      <c r="BR56" s="325"/>
      <c r="BS56" s="325"/>
      <c r="BT56" s="325"/>
      <c r="BU56" s="325"/>
      <c r="BV56" s="325"/>
      <c r="BW56" s="325"/>
      <c r="BX56" s="325"/>
      <c r="BY56" s="325"/>
      <c r="BZ56" s="329">
        <f t="shared" si="8"/>
        <v>-294.66666666666669</v>
      </c>
      <c r="CA56" s="329">
        <f t="shared" si="9"/>
        <v>-628.33333333333337</v>
      </c>
      <c r="CB56" s="329">
        <f t="shared" si="10"/>
        <v>-520</v>
      </c>
      <c r="CC56" s="329">
        <f t="shared" si="11"/>
        <v>-758.33333333333337</v>
      </c>
      <c r="CD56" s="325"/>
      <c r="CE56" s="325"/>
      <c r="CF56" s="325"/>
      <c r="CG56" s="325"/>
      <c r="CH56" s="325"/>
      <c r="CI56" s="325"/>
      <c r="CJ56" s="325"/>
      <c r="CK56" s="325"/>
      <c r="CL56" s="323">
        <v>38431.78</v>
      </c>
      <c r="CM56" s="323">
        <v>3522.36</v>
      </c>
      <c r="CN56" s="322">
        <v>0</v>
      </c>
      <c r="CO56" s="323">
        <v>5131.6499999999978</v>
      </c>
      <c r="CP56" s="323">
        <v>0</v>
      </c>
      <c r="CQ56" s="323">
        <v>72.8</v>
      </c>
      <c r="CR56" s="351"/>
      <c r="CS56" s="351"/>
      <c r="CT56" s="351"/>
      <c r="CU56" s="351"/>
      <c r="CV56" s="352"/>
      <c r="CW56" s="352"/>
      <c r="CX56" s="352"/>
      <c r="CY56" s="352"/>
    </row>
    <row r="57" spans="1:103" s="320" customFormat="1" ht="12" customHeight="1" x14ac:dyDescent="0.2">
      <c r="A57" s="320" t="s">
        <v>177</v>
      </c>
      <c r="B57" s="321">
        <f t="shared" si="1"/>
        <v>43982</v>
      </c>
      <c r="C57" s="320">
        <v>70</v>
      </c>
      <c r="D57" s="320">
        <v>14</v>
      </c>
      <c r="E57" s="320">
        <v>5</v>
      </c>
      <c r="F57" s="320">
        <v>9</v>
      </c>
      <c r="G57" s="325"/>
      <c r="H57" s="325"/>
      <c r="I57" s="325"/>
      <c r="J57" s="325"/>
      <c r="K57" s="325"/>
      <c r="L57" s="325"/>
      <c r="M57" s="325"/>
      <c r="N57" s="325"/>
      <c r="O57" s="320">
        <f t="shared" si="0"/>
        <v>98</v>
      </c>
      <c r="P57" s="333"/>
      <c r="Q57" s="322">
        <f t="shared" si="6"/>
        <v>0</v>
      </c>
      <c r="R57" s="329">
        <v>19.489999999999998</v>
      </c>
      <c r="S57" s="329">
        <v>36.130000000000003</v>
      </c>
      <c r="T57" s="329">
        <v>32.22</v>
      </c>
      <c r="U57" s="329">
        <v>54.33</v>
      </c>
      <c r="V57" s="334"/>
      <c r="W57" s="334"/>
      <c r="X57" s="334"/>
      <c r="Y57" s="334"/>
      <c r="Z57" s="334"/>
      <c r="AA57" s="334"/>
      <c r="AB57" s="334"/>
      <c r="AC57" s="334"/>
      <c r="AD57" s="329">
        <v>216.75</v>
      </c>
      <c r="AE57" s="329">
        <v>401.85</v>
      </c>
      <c r="AF57" s="329">
        <v>358.28</v>
      </c>
      <c r="AG57" s="329">
        <v>604.28</v>
      </c>
      <c r="AH57" s="334"/>
      <c r="AI57" s="334"/>
      <c r="AJ57" s="334"/>
      <c r="AK57" s="334"/>
      <c r="AL57" s="334"/>
      <c r="AM57" s="334"/>
      <c r="AN57" s="334"/>
      <c r="AO57" s="334"/>
      <c r="AP57" s="329">
        <v>37.74</v>
      </c>
      <c r="AQ57" s="329">
        <v>69.97</v>
      </c>
      <c r="AR57" s="329">
        <v>62.38</v>
      </c>
      <c r="AS57" s="329">
        <v>105.22</v>
      </c>
      <c r="AT57" s="334"/>
      <c r="AU57" s="334"/>
      <c r="AV57" s="334"/>
      <c r="AW57" s="334"/>
      <c r="AX57" s="334"/>
      <c r="AY57" s="334"/>
      <c r="AZ57" s="334"/>
      <c r="BA57" s="334"/>
      <c r="BB57" s="329">
        <v>320.89</v>
      </c>
      <c r="BC57" s="329">
        <v>594.91999999999996</v>
      </c>
      <c r="BD57" s="329">
        <v>530.42999999999995</v>
      </c>
      <c r="BE57" s="329">
        <v>894.64</v>
      </c>
      <c r="BF57" s="325"/>
      <c r="BG57" s="325"/>
      <c r="BH57" s="325"/>
      <c r="BI57" s="325"/>
      <c r="BJ57" s="325"/>
      <c r="BK57" s="325"/>
      <c r="BL57" s="325"/>
      <c r="BM57" s="325"/>
      <c r="BN57" s="329">
        <v>652.16</v>
      </c>
      <c r="BO57" s="329">
        <v>1217.45</v>
      </c>
      <c r="BP57" s="329">
        <v>1097.8900000000001</v>
      </c>
      <c r="BQ57" s="329">
        <v>1773.02</v>
      </c>
      <c r="BR57" s="325"/>
      <c r="BS57" s="325"/>
      <c r="BT57" s="325"/>
      <c r="BU57" s="325"/>
      <c r="BV57" s="325"/>
      <c r="BW57" s="325"/>
      <c r="BX57" s="325"/>
      <c r="BY57" s="325"/>
      <c r="BZ57" s="329">
        <f t="shared" si="8"/>
        <v>-294.66666666666669</v>
      </c>
      <c r="CA57" s="329">
        <f t="shared" si="9"/>
        <v>-628.33333333333337</v>
      </c>
      <c r="CB57" s="329">
        <f t="shared" si="10"/>
        <v>-520</v>
      </c>
      <c r="CC57" s="329">
        <f t="shared" si="11"/>
        <v>-758.33333333333337</v>
      </c>
      <c r="CD57" s="325"/>
      <c r="CE57" s="325"/>
      <c r="CF57" s="325"/>
      <c r="CG57" s="325"/>
      <c r="CH57" s="325"/>
      <c r="CI57" s="325"/>
      <c r="CJ57" s="325"/>
      <c r="CK57" s="325"/>
      <c r="CL57" s="323">
        <v>42936.27</v>
      </c>
      <c r="CM57" s="323">
        <v>3683.96</v>
      </c>
      <c r="CN57" s="322">
        <v>0</v>
      </c>
      <c r="CO57" s="323">
        <v>3675.34</v>
      </c>
      <c r="CP57" s="323">
        <v>0</v>
      </c>
      <c r="CQ57" s="323">
        <v>0</v>
      </c>
      <c r="CR57" s="351"/>
      <c r="CS57" s="351"/>
      <c r="CT57" s="351"/>
      <c r="CU57" s="351"/>
      <c r="CV57" s="352"/>
      <c r="CW57" s="352"/>
      <c r="CX57" s="352"/>
      <c r="CY57" s="352"/>
    </row>
    <row r="58" spans="1:103" s="320" customFormat="1" ht="12" customHeight="1" x14ac:dyDescent="0.2">
      <c r="A58" s="320" t="s">
        <v>175</v>
      </c>
      <c r="B58" s="321">
        <v>43983</v>
      </c>
      <c r="C58" s="320">
        <v>71</v>
      </c>
      <c r="D58" s="320">
        <v>13</v>
      </c>
      <c r="E58" s="320">
        <v>5</v>
      </c>
      <c r="F58" s="320">
        <v>9</v>
      </c>
      <c r="G58" s="325"/>
      <c r="H58" s="325"/>
      <c r="I58" s="325"/>
      <c r="J58" s="325"/>
      <c r="K58" s="325"/>
      <c r="L58" s="325"/>
      <c r="M58" s="325"/>
      <c r="N58" s="325"/>
      <c r="O58" s="320">
        <f t="shared" si="0"/>
        <v>98</v>
      </c>
      <c r="P58" s="333"/>
      <c r="Q58" s="322">
        <f t="shared" si="6"/>
        <v>-31.909166666666668</v>
      </c>
      <c r="R58" s="329">
        <v>19.489999999999998</v>
      </c>
      <c r="S58" s="329">
        <v>36.130000000000003</v>
      </c>
      <c r="T58" s="329">
        <v>32.22</v>
      </c>
      <c r="U58" s="329">
        <v>54.33</v>
      </c>
      <c r="V58" s="334"/>
      <c r="W58" s="334"/>
      <c r="X58" s="334"/>
      <c r="Y58" s="334"/>
      <c r="Z58" s="334"/>
      <c r="AA58" s="334"/>
      <c r="AB58" s="334"/>
      <c r="AC58" s="334"/>
      <c r="AD58" s="329">
        <v>216.75</v>
      </c>
      <c r="AE58" s="329">
        <v>401.85</v>
      </c>
      <c r="AF58" s="329">
        <v>358.28</v>
      </c>
      <c r="AG58" s="329">
        <v>604.28</v>
      </c>
      <c r="AH58" s="334"/>
      <c r="AI58" s="334"/>
      <c r="AJ58" s="334"/>
      <c r="AK58" s="334"/>
      <c r="AL58" s="334"/>
      <c r="AM58" s="334"/>
      <c r="AN58" s="334"/>
      <c r="AO58" s="334"/>
      <c r="AP58" s="329">
        <v>37.74</v>
      </c>
      <c r="AQ58" s="329">
        <v>69.97</v>
      </c>
      <c r="AR58" s="329">
        <v>62.38</v>
      </c>
      <c r="AS58" s="329">
        <v>105.22</v>
      </c>
      <c r="AT58" s="334"/>
      <c r="AU58" s="334"/>
      <c r="AV58" s="334"/>
      <c r="AW58" s="334"/>
      <c r="AX58" s="334"/>
      <c r="AY58" s="334"/>
      <c r="AZ58" s="334"/>
      <c r="BA58" s="334"/>
      <c r="BB58" s="329">
        <v>320.89</v>
      </c>
      <c r="BC58" s="329">
        <v>594.91999999999996</v>
      </c>
      <c r="BD58" s="329">
        <v>530.42999999999995</v>
      </c>
      <c r="BE58" s="329">
        <v>894.64</v>
      </c>
      <c r="BF58" s="325"/>
      <c r="BG58" s="325"/>
      <c r="BH58" s="325"/>
      <c r="BI58" s="325"/>
      <c r="BJ58" s="325"/>
      <c r="BK58" s="325"/>
      <c r="BL58" s="325"/>
      <c r="BM58" s="325"/>
      <c r="BN58" s="329">
        <v>652.16</v>
      </c>
      <c r="BO58" s="329">
        <v>1217.45</v>
      </c>
      <c r="BP58" s="329">
        <v>1097.8900000000001</v>
      </c>
      <c r="BQ58" s="329">
        <v>1773.02</v>
      </c>
      <c r="BR58" s="325"/>
      <c r="BS58" s="325"/>
      <c r="BT58" s="325"/>
      <c r="BU58" s="325"/>
      <c r="BV58" s="325"/>
      <c r="BW58" s="325"/>
      <c r="BX58" s="325"/>
      <c r="BY58" s="325"/>
      <c r="BZ58" s="329">
        <f t="shared" si="8"/>
        <v>-294.66666666666669</v>
      </c>
      <c r="CA58" s="329">
        <f t="shared" si="9"/>
        <v>-628.33333333333337</v>
      </c>
      <c r="CB58" s="329">
        <f t="shared" si="10"/>
        <v>-520</v>
      </c>
      <c r="CC58" s="329">
        <f t="shared" si="11"/>
        <v>-758.33333333333337</v>
      </c>
      <c r="CD58" s="325"/>
      <c r="CE58" s="325"/>
      <c r="CF58" s="325"/>
      <c r="CG58" s="325"/>
      <c r="CH58" s="325"/>
      <c r="CI58" s="325"/>
      <c r="CJ58" s="325"/>
      <c r="CK58" s="325"/>
      <c r="CL58" s="323">
        <v>75544.23</v>
      </c>
      <c r="CM58" s="323">
        <v>0</v>
      </c>
      <c r="CN58" s="322">
        <v>-3063.28</v>
      </c>
      <c r="CO58" s="323">
        <v>2415.8899999999994</v>
      </c>
      <c r="CP58" s="323">
        <v>0</v>
      </c>
      <c r="CQ58" s="323">
        <v>400</v>
      </c>
      <c r="CR58" s="351"/>
      <c r="CS58" s="351"/>
      <c r="CT58" s="351"/>
      <c r="CU58" s="351"/>
      <c r="CV58" s="352"/>
      <c r="CW58" s="352"/>
      <c r="CX58" s="352"/>
      <c r="CY58" s="352"/>
    </row>
    <row r="59" spans="1:103" s="320" customFormat="1" ht="12" customHeight="1" x14ac:dyDescent="0.2">
      <c r="B59" s="321">
        <f t="shared" si="1"/>
        <v>44014</v>
      </c>
      <c r="C59" s="320">
        <v>69</v>
      </c>
      <c r="D59" s="320">
        <v>14</v>
      </c>
      <c r="E59" s="320">
        <v>5</v>
      </c>
      <c r="F59" s="320">
        <v>9</v>
      </c>
      <c r="G59" s="325"/>
      <c r="H59" s="325"/>
      <c r="I59" s="325"/>
      <c r="J59" s="325"/>
      <c r="K59" s="325"/>
      <c r="L59" s="325"/>
      <c r="M59" s="325"/>
      <c r="N59" s="325"/>
      <c r="O59" s="320">
        <f t="shared" si="0"/>
        <v>97</v>
      </c>
      <c r="P59" s="333"/>
      <c r="Q59" s="322">
        <f t="shared" si="6"/>
        <v>-0.68428571428571372</v>
      </c>
      <c r="R59" s="329">
        <v>19.489999999999998</v>
      </c>
      <c r="S59" s="329">
        <v>36.130000000000003</v>
      </c>
      <c r="T59" s="329">
        <v>32.22</v>
      </c>
      <c r="U59" s="329">
        <v>54.33</v>
      </c>
      <c r="V59" s="334"/>
      <c r="W59" s="334"/>
      <c r="X59" s="334"/>
      <c r="Y59" s="334"/>
      <c r="Z59" s="334"/>
      <c r="AA59" s="334"/>
      <c r="AB59" s="334"/>
      <c r="AC59" s="334"/>
      <c r="AD59" s="329">
        <v>216.75</v>
      </c>
      <c r="AE59" s="329">
        <v>401.85</v>
      </c>
      <c r="AF59" s="329">
        <v>358.28</v>
      </c>
      <c r="AG59" s="329">
        <v>604.28</v>
      </c>
      <c r="AH59" s="334"/>
      <c r="AI59" s="334"/>
      <c r="AJ59" s="334"/>
      <c r="AK59" s="334"/>
      <c r="AL59" s="334"/>
      <c r="AM59" s="334"/>
      <c r="AN59" s="334"/>
      <c r="AO59" s="334"/>
      <c r="AP59" s="329">
        <v>37.74</v>
      </c>
      <c r="AQ59" s="329">
        <v>69.97</v>
      </c>
      <c r="AR59" s="329">
        <v>62.38</v>
      </c>
      <c r="AS59" s="329">
        <v>105.22</v>
      </c>
      <c r="AT59" s="334"/>
      <c r="AU59" s="334"/>
      <c r="AV59" s="334"/>
      <c r="AW59" s="334"/>
      <c r="AX59" s="334"/>
      <c r="AY59" s="334"/>
      <c r="AZ59" s="334"/>
      <c r="BA59" s="334"/>
      <c r="BB59" s="329">
        <v>320.89</v>
      </c>
      <c r="BC59" s="329">
        <v>594.91999999999996</v>
      </c>
      <c r="BD59" s="329">
        <v>530.42999999999995</v>
      </c>
      <c r="BE59" s="329">
        <v>894.64</v>
      </c>
      <c r="BF59" s="325"/>
      <c r="BG59" s="325"/>
      <c r="BH59" s="325"/>
      <c r="BI59" s="325"/>
      <c r="BJ59" s="325"/>
      <c r="BK59" s="325"/>
      <c r="BL59" s="325"/>
      <c r="BM59" s="325"/>
      <c r="BN59" s="329">
        <v>652.16</v>
      </c>
      <c r="BO59" s="329">
        <v>1217.45</v>
      </c>
      <c r="BP59" s="329">
        <v>1097.8900000000001</v>
      </c>
      <c r="BQ59" s="329">
        <v>1773.02</v>
      </c>
      <c r="BR59" s="325"/>
      <c r="BS59" s="325"/>
      <c r="BT59" s="325"/>
      <c r="BU59" s="325"/>
      <c r="BV59" s="325"/>
      <c r="BW59" s="325"/>
      <c r="BX59" s="325"/>
      <c r="BY59" s="325"/>
      <c r="BZ59" s="329">
        <f t="shared" si="8"/>
        <v>-294.66666666666669</v>
      </c>
      <c r="CA59" s="329">
        <f t="shared" si="9"/>
        <v>-628.33333333333337</v>
      </c>
      <c r="CB59" s="329">
        <f t="shared" si="10"/>
        <v>-520</v>
      </c>
      <c r="CC59" s="329">
        <f t="shared" si="11"/>
        <v>-758.33333333333337</v>
      </c>
      <c r="CD59" s="325"/>
      <c r="CE59" s="325"/>
      <c r="CF59" s="325"/>
      <c r="CG59" s="325"/>
      <c r="CH59" s="325"/>
      <c r="CI59" s="325"/>
      <c r="CJ59" s="325"/>
      <c r="CK59" s="325"/>
      <c r="CL59" s="323">
        <v>36958.01</v>
      </c>
      <c r="CM59" s="325"/>
      <c r="CN59" s="322">
        <v>-67.059999999999945</v>
      </c>
      <c r="CO59" s="323">
        <v>5162.0600000000013</v>
      </c>
      <c r="CP59" s="323">
        <v>1058.8699999999999</v>
      </c>
      <c r="CQ59" s="323">
        <v>2132.1</v>
      </c>
      <c r="CR59" s="351"/>
      <c r="CS59" s="351"/>
      <c r="CT59" s="351"/>
      <c r="CU59" s="351"/>
      <c r="CV59" s="352"/>
      <c r="CW59" s="352"/>
      <c r="CX59" s="352"/>
      <c r="CY59" s="352"/>
    </row>
    <row r="60" spans="1:103" s="320" customFormat="1" ht="12" customHeight="1" x14ac:dyDescent="0.2">
      <c r="A60" s="322" t="s">
        <v>178</v>
      </c>
      <c r="B60" s="321">
        <f t="shared" si="1"/>
        <v>44045</v>
      </c>
      <c r="C60" s="320">
        <v>70</v>
      </c>
      <c r="D60" s="320">
        <v>14</v>
      </c>
      <c r="E60" s="320">
        <v>5</v>
      </c>
      <c r="F60" s="320">
        <v>9</v>
      </c>
      <c r="G60" s="325"/>
      <c r="H60" s="325"/>
      <c r="I60" s="325"/>
      <c r="J60" s="325"/>
      <c r="K60" s="325"/>
      <c r="L60" s="325"/>
      <c r="M60" s="325"/>
      <c r="N60" s="325"/>
      <c r="O60" s="320">
        <f t="shared" si="0"/>
        <v>98</v>
      </c>
      <c r="P60" s="333"/>
      <c r="Q60" s="322">
        <f t="shared" si="6"/>
        <v>-109.60897959183674</v>
      </c>
      <c r="R60" s="329">
        <v>19.489999999999998</v>
      </c>
      <c r="S60" s="329">
        <v>36.130000000000003</v>
      </c>
      <c r="T60" s="329">
        <v>32.22</v>
      </c>
      <c r="U60" s="329">
        <v>54.33</v>
      </c>
      <c r="V60" s="334"/>
      <c r="W60" s="334"/>
      <c r="X60" s="334"/>
      <c r="Y60" s="334"/>
      <c r="Z60" s="334"/>
      <c r="AA60" s="334"/>
      <c r="AB60" s="334"/>
      <c r="AC60" s="334"/>
      <c r="AD60" s="329">
        <v>216.75</v>
      </c>
      <c r="AE60" s="329">
        <v>401.85</v>
      </c>
      <c r="AF60" s="329">
        <v>358.28</v>
      </c>
      <c r="AG60" s="329">
        <v>604.28</v>
      </c>
      <c r="AH60" s="334"/>
      <c r="AI60" s="334"/>
      <c r="AJ60" s="334"/>
      <c r="AK60" s="334"/>
      <c r="AL60" s="334"/>
      <c r="AM60" s="334"/>
      <c r="AN60" s="334"/>
      <c r="AO60" s="334"/>
      <c r="AP60" s="329">
        <v>37.74</v>
      </c>
      <c r="AQ60" s="329">
        <v>69.97</v>
      </c>
      <c r="AR60" s="329">
        <v>62.38</v>
      </c>
      <c r="AS60" s="329">
        <v>105.22</v>
      </c>
      <c r="AT60" s="334"/>
      <c r="AU60" s="334"/>
      <c r="AV60" s="334"/>
      <c r="AW60" s="334"/>
      <c r="AX60" s="334"/>
      <c r="AY60" s="334"/>
      <c r="AZ60" s="334"/>
      <c r="BA60" s="334"/>
      <c r="BB60" s="329">
        <v>320.89</v>
      </c>
      <c r="BC60" s="329">
        <v>594.91999999999996</v>
      </c>
      <c r="BD60" s="329">
        <v>530.42999999999995</v>
      </c>
      <c r="BE60" s="329">
        <v>894.64</v>
      </c>
      <c r="BF60" s="325"/>
      <c r="BG60" s="325"/>
      <c r="BH60" s="325"/>
      <c r="BI60" s="325"/>
      <c r="BJ60" s="325"/>
      <c r="BK60" s="325"/>
      <c r="BL60" s="325"/>
      <c r="BM60" s="325"/>
      <c r="BN60" s="329">
        <v>652.16</v>
      </c>
      <c r="BO60" s="329">
        <v>1217.45</v>
      </c>
      <c r="BP60" s="329">
        <v>1097.8900000000001</v>
      </c>
      <c r="BQ60" s="329">
        <v>1773.02</v>
      </c>
      <c r="BR60" s="325"/>
      <c r="BS60" s="325"/>
      <c r="BT60" s="325"/>
      <c r="BU60" s="325"/>
      <c r="BV60" s="325"/>
      <c r="BW60" s="325"/>
      <c r="BX60" s="325"/>
      <c r="BY60" s="325"/>
      <c r="BZ60" s="329">
        <f t="shared" si="8"/>
        <v>-294.66666666666669</v>
      </c>
      <c r="CA60" s="329">
        <f t="shared" si="9"/>
        <v>-628.33333333333337</v>
      </c>
      <c r="CB60" s="329">
        <f t="shared" si="10"/>
        <v>-520</v>
      </c>
      <c r="CC60" s="329">
        <f t="shared" si="11"/>
        <v>-758.33333333333337</v>
      </c>
      <c r="CD60" s="325"/>
      <c r="CE60" s="325"/>
      <c r="CF60" s="325"/>
      <c r="CG60" s="325"/>
      <c r="CH60" s="325"/>
      <c r="CI60" s="325"/>
      <c r="CJ60" s="325"/>
      <c r="CK60" s="325"/>
      <c r="CL60" s="323">
        <v>54660.85</v>
      </c>
      <c r="CM60" s="325"/>
      <c r="CN60" s="322">
        <v>-10741.68</v>
      </c>
      <c r="CO60" s="323">
        <v>1759.0800000000017</v>
      </c>
      <c r="CP60" s="323">
        <v>175.36000000000013</v>
      </c>
      <c r="CQ60" s="323">
        <v>2539</v>
      </c>
      <c r="CR60" s="351"/>
      <c r="CS60" s="351"/>
      <c r="CT60" s="351"/>
      <c r="CU60" s="351"/>
      <c r="CV60" s="352"/>
      <c r="CW60" s="352"/>
      <c r="CX60" s="352"/>
      <c r="CY60" s="352"/>
    </row>
    <row r="61" spans="1:103" s="320" customFormat="1" ht="12" customHeight="1" x14ac:dyDescent="0.2">
      <c r="A61" s="322">
        <v>50000</v>
      </c>
      <c r="B61" s="321">
        <f t="shared" si="1"/>
        <v>44076</v>
      </c>
      <c r="C61" s="320">
        <v>64</v>
      </c>
      <c r="D61" s="320">
        <v>13</v>
      </c>
      <c r="E61" s="320">
        <v>5</v>
      </c>
      <c r="F61" s="320">
        <v>9</v>
      </c>
      <c r="G61" s="325"/>
      <c r="H61" s="325"/>
      <c r="I61" s="325"/>
      <c r="J61" s="325"/>
      <c r="K61" s="325"/>
      <c r="L61" s="325"/>
      <c r="M61" s="325"/>
      <c r="N61" s="325"/>
      <c r="O61" s="320">
        <f t="shared" si="0"/>
        <v>91</v>
      </c>
      <c r="P61" s="333"/>
      <c r="Q61" s="322">
        <f t="shared" si="6"/>
        <v>-118.09329896907215</v>
      </c>
      <c r="R61" s="329">
        <v>19.489999999999998</v>
      </c>
      <c r="S61" s="329">
        <v>36.130000000000003</v>
      </c>
      <c r="T61" s="329">
        <v>32.22</v>
      </c>
      <c r="U61" s="329">
        <v>54.33</v>
      </c>
      <c r="V61" s="334"/>
      <c r="W61" s="334"/>
      <c r="X61" s="334"/>
      <c r="Y61" s="334"/>
      <c r="Z61" s="334"/>
      <c r="AA61" s="334"/>
      <c r="AB61" s="334"/>
      <c r="AC61" s="334"/>
      <c r="AD61" s="329">
        <v>216.75</v>
      </c>
      <c r="AE61" s="329">
        <v>401.85</v>
      </c>
      <c r="AF61" s="329">
        <v>358.28</v>
      </c>
      <c r="AG61" s="329">
        <v>604.28</v>
      </c>
      <c r="AH61" s="334"/>
      <c r="AI61" s="334"/>
      <c r="AJ61" s="334"/>
      <c r="AK61" s="334"/>
      <c r="AL61" s="334"/>
      <c r="AM61" s="334"/>
      <c r="AN61" s="334"/>
      <c r="AO61" s="334"/>
      <c r="AP61" s="329">
        <v>37.74</v>
      </c>
      <c r="AQ61" s="329">
        <v>69.97</v>
      </c>
      <c r="AR61" s="329">
        <v>62.38</v>
      </c>
      <c r="AS61" s="329">
        <v>105.22</v>
      </c>
      <c r="AT61" s="334"/>
      <c r="AU61" s="334"/>
      <c r="AV61" s="334"/>
      <c r="AW61" s="334"/>
      <c r="AX61" s="334"/>
      <c r="AY61" s="334"/>
      <c r="AZ61" s="334"/>
      <c r="BA61" s="334"/>
      <c r="BB61" s="329">
        <v>320.89</v>
      </c>
      <c r="BC61" s="329">
        <v>594.91999999999996</v>
      </c>
      <c r="BD61" s="329">
        <v>530.42999999999995</v>
      </c>
      <c r="BE61" s="329">
        <v>894.64</v>
      </c>
      <c r="BF61" s="325"/>
      <c r="BG61" s="325"/>
      <c r="BH61" s="325"/>
      <c r="BI61" s="325"/>
      <c r="BJ61" s="325"/>
      <c r="BK61" s="325"/>
      <c r="BL61" s="325"/>
      <c r="BM61" s="325"/>
      <c r="BN61" s="329">
        <v>652.16</v>
      </c>
      <c r="BO61" s="329">
        <v>1217.45</v>
      </c>
      <c r="BP61" s="329">
        <v>1097.8900000000001</v>
      </c>
      <c r="BQ61" s="329">
        <v>1773.02</v>
      </c>
      <c r="BR61" s="325"/>
      <c r="BS61" s="325"/>
      <c r="BT61" s="325"/>
      <c r="BU61" s="325"/>
      <c r="BV61" s="325"/>
      <c r="BW61" s="325"/>
      <c r="BX61" s="325"/>
      <c r="BY61" s="325"/>
      <c r="BZ61" s="329">
        <f t="shared" si="8"/>
        <v>-294.66666666666669</v>
      </c>
      <c r="CA61" s="329">
        <f t="shared" si="9"/>
        <v>-628.33333333333337</v>
      </c>
      <c r="CB61" s="329">
        <f t="shared" si="10"/>
        <v>-520</v>
      </c>
      <c r="CC61" s="329">
        <f t="shared" si="11"/>
        <v>-758.33333333333337</v>
      </c>
      <c r="CD61" s="325"/>
      <c r="CE61" s="325"/>
      <c r="CF61" s="325"/>
      <c r="CG61" s="325"/>
      <c r="CH61" s="325"/>
      <c r="CI61" s="325"/>
      <c r="CJ61" s="325"/>
      <c r="CK61" s="325"/>
      <c r="CL61" s="323">
        <v>42864.77</v>
      </c>
      <c r="CM61" s="325"/>
      <c r="CN61" s="322">
        <v>-11455.05</v>
      </c>
      <c r="CO61" s="323">
        <v>1460.4999999999964</v>
      </c>
      <c r="CP61" s="323">
        <v>1530.02</v>
      </c>
      <c r="CQ61" s="323">
        <v>1991.8</v>
      </c>
      <c r="CR61" s="351"/>
      <c r="CS61" s="351"/>
      <c r="CT61" s="351"/>
      <c r="CU61" s="351"/>
      <c r="CV61" s="352"/>
      <c r="CW61" s="352"/>
      <c r="CX61" s="352"/>
      <c r="CY61" s="352"/>
    </row>
    <row r="62" spans="1:103" s="320" customFormat="1" ht="12" customHeight="1" x14ac:dyDescent="0.2">
      <c r="B62" s="321">
        <f t="shared" si="1"/>
        <v>44107</v>
      </c>
      <c r="C62" s="320">
        <v>64</v>
      </c>
      <c r="D62" s="320">
        <v>13</v>
      </c>
      <c r="E62" s="320">
        <v>6</v>
      </c>
      <c r="F62" s="320">
        <v>8</v>
      </c>
      <c r="G62" s="325"/>
      <c r="H62" s="325"/>
      <c r="I62" s="325"/>
      <c r="J62" s="325"/>
      <c r="K62" s="325"/>
      <c r="L62" s="325"/>
      <c r="M62" s="325"/>
      <c r="N62" s="325"/>
      <c r="O62" s="320">
        <f t="shared" si="0"/>
        <v>91</v>
      </c>
      <c r="P62" s="333"/>
      <c r="Q62" s="322">
        <f t="shared" si="6"/>
        <v>-305.20795918367344</v>
      </c>
      <c r="R62" s="329">
        <v>19.489999999999998</v>
      </c>
      <c r="S62" s="329">
        <v>36.130000000000003</v>
      </c>
      <c r="T62" s="329">
        <v>32.22</v>
      </c>
      <c r="U62" s="329">
        <v>54.33</v>
      </c>
      <c r="V62" s="334"/>
      <c r="W62" s="334"/>
      <c r="X62" s="334"/>
      <c r="Y62" s="334"/>
      <c r="Z62" s="334"/>
      <c r="AA62" s="334"/>
      <c r="AB62" s="334"/>
      <c r="AC62" s="334"/>
      <c r="AD62" s="329">
        <v>216.75</v>
      </c>
      <c r="AE62" s="329">
        <v>401.85</v>
      </c>
      <c r="AF62" s="329">
        <v>358.28</v>
      </c>
      <c r="AG62" s="329">
        <v>604.28</v>
      </c>
      <c r="AH62" s="334"/>
      <c r="AI62" s="334"/>
      <c r="AJ62" s="334"/>
      <c r="AK62" s="334"/>
      <c r="AL62" s="334"/>
      <c r="AM62" s="334"/>
      <c r="AN62" s="334"/>
      <c r="AO62" s="334"/>
      <c r="AP62" s="329">
        <v>37.74</v>
      </c>
      <c r="AQ62" s="329">
        <v>69.97</v>
      </c>
      <c r="AR62" s="329">
        <v>62.38</v>
      </c>
      <c r="AS62" s="329">
        <v>105.22</v>
      </c>
      <c r="AT62" s="334"/>
      <c r="AU62" s="334"/>
      <c r="AV62" s="334"/>
      <c r="AW62" s="334"/>
      <c r="AX62" s="334"/>
      <c r="AY62" s="334"/>
      <c r="AZ62" s="334"/>
      <c r="BA62" s="334"/>
      <c r="BB62" s="329">
        <v>320.89</v>
      </c>
      <c r="BC62" s="329">
        <v>594.91999999999996</v>
      </c>
      <c r="BD62" s="329">
        <v>530.42999999999995</v>
      </c>
      <c r="BE62" s="329">
        <v>894.64</v>
      </c>
      <c r="BF62" s="325"/>
      <c r="BG62" s="325"/>
      <c r="BH62" s="325"/>
      <c r="BI62" s="325"/>
      <c r="BJ62" s="325"/>
      <c r="BK62" s="325"/>
      <c r="BL62" s="325"/>
      <c r="BM62" s="325"/>
      <c r="BN62" s="329">
        <v>652.16</v>
      </c>
      <c r="BO62" s="329">
        <v>1217.45</v>
      </c>
      <c r="BP62" s="329">
        <v>1097.8900000000001</v>
      </c>
      <c r="BQ62" s="329">
        <v>1773.02</v>
      </c>
      <c r="BR62" s="325"/>
      <c r="BS62" s="325"/>
      <c r="BT62" s="325"/>
      <c r="BU62" s="325"/>
      <c r="BV62" s="325"/>
      <c r="BW62" s="325"/>
      <c r="BX62" s="325"/>
      <c r="BY62" s="325"/>
      <c r="BZ62" s="329">
        <f t="shared" si="8"/>
        <v>-294.66666666666669</v>
      </c>
      <c r="CA62" s="329">
        <f t="shared" si="9"/>
        <v>-628.33333333333337</v>
      </c>
      <c r="CB62" s="329">
        <f t="shared" si="10"/>
        <v>-520</v>
      </c>
      <c r="CC62" s="329">
        <f t="shared" si="11"/>
        <v>-758.33333333333337</v>
      </c>
      <c r="CD62" s="325"/>
      <c r="CE62" s="325"/>
      <c r="CF62" s="325"/>
      <c r="CG62" s="325"/>
      <c r="CH62" s="325"/>
      <c r="CI62" s="325"/>
      <c r="CJ62" s="325"/>
      <c r="CK62" s="325"/>
      <c r="CL62" s="323">
        <v>54590.07</v>
      </c>
      <c r="CM62" s="325"/>
      <c r="CN62" s="322">
        <v>-29910.379999999997</v>
      </c>
      <c r="CO62" s="323">
        <v>731.29000000000451</v>
      </c>
      <c r="CP62" s="323">
        <v>2219.25</v>
      </c>
      <c r="CQ62" s="323">
        <v>628.6</v>
      </c>
      <c r="CR62" s="351"/>
      <c r="CS62" s="351"/>
      <c r="CT62" s="351"/>
      <c r="CU62" s="351"/>
      <c r="CV62" s="352"/>
      <c r="CW62" s="352"/>
      <c r="CX62" s="352"/>
      <c r="CY62" s="352"/>
    </row>
    <row r="63" spans="1:103" s="320" customFormat="1" ht="12" customHeight="1" x14ac:dyDescent="0.2">
      <c r="B63" s="321">
        <f t="shared" si="1"/>
        <v>44138</v>
      </c>
      <c r="C63" s="320">
        <v>63</v>
      </c>
      <c r="D63" s="320">
        <v>13</v>
      </c>
      <c r="E63" s="320">
        <v>5</v>
      </c>
      <c r="F63" s="320">
        <v>8</v>
      </c>
      <c r="G63" s="325"/>
      <c r="H63" s="325"/>
      <c r="I63" s="325"/>
      <c r="J63" s="325"/>
      <c r="K63" s="325"/>
      <c r="L63" s="325"/>
      <c r="M63" s="325"/>
      <c r="N63" s="325"/>
      <c r="O63" s="320">
        <f t="shared" si="0"/>
        <v>89</v>
      </c>
      <c r="P63" s="333"/>
      <c r="Q63" s="322">
        <f t="shared" si="6"/>
        <v>-141.54516483516485</v>
      </c>
      <c r="R63" s="329">
        <v>19.489999999999998</v>
      </c>
      <c r="S63" s="329">
        <v>36.130000000000003</v>
      </c>
      <c r="T63" s="329">
        <v>32.22</v>
      </c>
      <c r="U63" s="329">
        <v>54.33</v>
      </c>
      <c r="V63" s="334"/>
      <c r="W63" s="334"/>
      <c r="X63" s="334"/>
      <c r="Y63" s="334"/>
      <c r="Z63" s="334"/>
      <c r="AA63" s="334"/>
      <c r="AB63" s="334"/>
      <c r="AC63" s="334"/>
      <c r="AD63" s="329">
        <v>216.75</v>
      </c>
      <c r="AE63" s="329">
        <v>401.85</v>
      </c>
      <c r="AF63" s="329">
        <v>358.28</v>
      </c>
      <c r="AG63" s="329">
        <v>604.28</v>
      </c>
      <c r="AH63" s="334"/>
      <c r="AI63" s="334"/>
      <c r="AJ63" s="334"/>
      <c r="AK63" s="334"/>
      <c r="AL63" s="334"/>
      <c r="AM63" s="334"/>
      <c r="AN63" s="334"/>
      <c r="AO63" s="334"/>
      <c r="AP63" s="329">
        <v>37.74</v>
      </c>
      <c r="AQ63" s="329">
        <v>69.97</v>
      </c>
      <c r="AR63" s="329">
        <v>62.38</v>
      </c>
      <c r="AS63" s="329">
        <v>105.22</v>
      </c>
      <c r="AT63" s="334"/>
      <c r="AU63" s="334"/>
      <c r="AV63" s="334"/>
      <c r="AW63" s="334"/>
      <c r="AX63" s="334"/>
      <c r="AY63" s="334"/>
      <c r="AZ63" s="334"/>
      <c r="BA63" s="334"/>
      <c r="BB63" s="329">
        <v>320.89</v>
      </c>
      <c r="BC63" s="329">
        <v>594.91999999999996</v>
      </c>
      <c r="BD63" s="329">
        <v>530.42999999999995</v>
      </c>
      <c r="BE63" s="329">
        <v>894.64</v>
      </c>
      <c r="BF63" s="325"/>
      <c r="BG63" s="325"/>
      <c r="BH63" s="325"/>
      <c r="BI63" s="325"/>
      <c r="BJ63" s="325"/>
      <c r="BK63" s="325"/>
      <c r="BL63" s="325"/>
      <c r="BM63" s="325"/>
      <c r="BN63" s="329">
        <v>652.16</v>
      </c>
      <c r="BO63" s="329">
        <v>1217.45</v>
      </c>
      <c r="BP63" s="329">
        <v>1097.8900000000001</v>
      </c>
      <c r="BQ63" s="329">
        <v>1773.02</v>
      </c>
      <c r="BR63" s="325"/>
      <c r="BS63" s="325"/>
      <c r="BT63" s="325"/>
      <c r="BU63" s="325"/>
      <c r="BV63" s="325"/>
      <c r="BW63" s="325"/>
      <c r="BX63" s="325"/>
      <c r="BY63" s="325"/>
      <c r="BZ63" s="329">
        <f t="shared" si="8"/>
        <v>-294.66666666666669</v>
      </c>
      <c r="CA63" s="329">
        <f t="shared" si="9"/>
        <v>-628.33333333333337</v>
      </c>
      <c r="CB63" s="329">
        <f t="shared" si="10"/>
        <v>-520</v>
      </c>
      <c r="CC63" s="329">
        <f t="shared" si="11"/>
        <v>-758.33333333333337</v>
      </c>
      <c r="CD63" s="325"/>
      <c r="CE63" s="325"/>
      <c r="CF63" s="325"/>
      <c r="CG63" s="325"/>
      <c r="CH63" s="325"/>
      <c r="CI63" s="325"/>
      <c r="CJ63" s="325"/>
      <c r="CK63" s="325"/>
      <c r="CL63" s="323">
        <v>33005.910000000003</v>
      </c>
      <c r="CM63" s="325"/>
      <c r="CN63" s="322">
        <v>-12880.61</v>
      </c>
      <c r="CO63" s="323">
        <v>1247.3299999999981</v>
      </c>
      <c r="CP63" s="323">
        <v>0</v>
      </c>
      <c r="CQ63" s="323">
        <v>1338.2</v>
      </c>
      <c r="CR63" s="351"/>
      <c r="CS63" s="351"/>
      <c r="CT63" s="351"/>
      <c r="CU63" s="351"/>
      <c r="CV63" s="352"/>
      <c r="CW63" s="352"/>
      <c r="CX63" s="352"/>
      <c r="CY63" s="352"/>
    </row>
    <row r="64" spans="1:103" s="320" customFormat="1" ht="12" customHeight="1" x14ac:dyDescent="0.2">
      <c r="B64" s="321">
        <f t="shared" si="1"/>
        <v>44169</v>
      </c>
      <c r="C64" s="320">
        <v>67</v>
      </c>
      <c r="D64" s="320">
        <v>14</v>
      </c>
      <c r="E64" s="320">
        <v>4</v>
      </c>
      <c r="F64" s="320">
        <v>7</v>
      </c>
      <c r="G64" s="325"/>
      <c r="H64" s="325"/>
      <c r="I64" s="325"/>
      <c r="J64" s="325"/>
      <c r="K64" s="325"/>
      <c r="L64" s="325"/>
      <c r="M64" s="325"/>
      <c r="N64" s="325"/>
      <c r="O64" s="320">
        <f t="shared" si="0"/>
        <v>92</v>
      </c>
      <c r="P64" s="333"/>
      <c r="Q64" s="322">
        <f t="shared" si="6"/>
        <v>-100.53604395604394</v>
      </c>
      <c r="R64" s="329">
        <v>19.489999999999998</v>
      </c>
      <c r="S64" s="329">
        <v>36.130000000000003</v>
      </c>
      <c r="T64" s="329">
        <v>32.22</v>
      </c>
      <c r="U64" s="329">
        <v>54.33</v>
      </c>
      <c r="V64" s="334"/>
      <c r="W64" s="334"/>
      <c r="X64" s="334"/>
      <c r="Y64" s="334"/>
      <c r="Z64" s="334"/>
      <c r="AA64" s="334"/>
      <c r="AB64" s="334"/>
      <c r="AC64" s="334"/>
      <c r="AD64" s="329">
        <v>216.75</v>
      </c>
      <c r="AE64" s="329">
        <v>401.85</v>
      </c>
      <c r="AF64" s="329">
        <v>358.28</v>
      </c>
      <c r="AG64" s="329">
        <v>604.28</v>
      </c>
      <c r="AH64" s="334"/>
      <c r="AI64" s="334"/>
      <c r="AJ64" s="334"/>
      <c r="AK64" s="334"/>
      <c r="AL64" s="334"/>
      <c r="AM64" s="334"/>
      <c r="AN64" s="334"/>
      <c r="AO64" s="334"/>
      <c r="AP64" s="329">
        <v>37.74</v>
      </c>
      <c r="AQ64" s="329">
        <v>69.97</v>
      </c>
      <c r="AR64" s="329">
        <v>62.38</v>
      </c>
      <c r="AS64" s="329">
        <v>105.22</v>
      </c>
      <c r="AT64" s="334"/>
      <c r="AU64" s="334"/>
      <c r="AV64" s="334"/>
      <c r="AW64" s="334"/>
      <c r="AX64" s="334"/>
      <c r="AY64" s="334"/>
      <c r="AZ64" s="334"/>
      <c r="BA64" s="334"/>
      <c r="BB64" s="329">
        <v>320.89</v>
      </c>
      <c r="BC64" s="329">
        <v>594.91999999999996</v>
      </c>
      <c r="BD64" s="329">
        <v>530.42999999999995</v>
      </c>
      <c r="BE64" s="329">
        <v>894.64</v>
      </c>
      <c r="BF64" s="334"/>
      <c r="BG64" s="334"/>
      <c r="BH64" s="334"/>
      <c r="BI64" s="334"/>
      <c r="BJ64" s="334"/>
      <c r="BK64" s="334"/>
      <c r="BL64" s="334"/>
      <c r="BM64" s="334"/>
      <c r="BN64" s="329">
        <v>652.16</v>
      </c>
      <c r="BO64" s="329">
        <v>1217.45</v>
      </c>
      <c r="BP64" s="329">
        <v>1097.8900000000001</v>
      </c>
      <c r="BQ64" s="329">
        <v>1773.02</v>
      </c>
      <c r="BR64" s="334"/>
      <c r="BS64" s="334"/>
      <c r="BT64" s="334"/>
      <c r="BU64" s="334"/>
      <c r="BV64" s="334"/>
      <c r="BW64" s="334"/>
      <c r="BX64" s="334"/>
      <c r="BY64" s="334"/>
      <c r="BZ64" s="329">
        <f>-68*52/12</f>
        <v>-294.66666666666669</v>
      </c>
      <c r="CA64" s="329">
        <f>-145*52/12</f>
        <v>-628.33333333333337</v>
      </c>
      <c r="CB64" s="329">
        <f>-120*52/12</f>
        <v>-520</v>
      </c>
      <c r="CC64" s="329">
        <f>-175*52/12</f>
        <v>-758.33333333333337</v>
      </c>
      <c r="CD64" s="325"/>
      <c r="CE64" s="325"/>
      <c r="CF64" s="325"/>
      <c r="CG64" s="325"/>
      <c r="CH64" s="325"/>
      <c r="CI64" s="325"/>
      <c r="CJ64" s="325"/>
      <c r="CK64" s="325"/>
      <c r="CL64" s="323">
        <v>82660.350000000006</v>
      </c>
      <c r="CM64" s="325"/>
      <c r="CN64" s="322">
        <v>-9148.7799999999988</v>
      </c>
      <c r="CO64" s="323">
        <v>6388.3599999999969</v>
      </c>
      <c r="CP64" s="323">
        <v>0</v>
      </c>
      <c r="CQ64" s="323">
        <v>400</v>
      </c>
      <c r="CR64" s="351"/>
      <c r="CS64" s="351"/>
      <c r="CT64" s="351"/>
      <c r="CU64" s="351"/>
      <c r="CV64" s="352"/>
      <c r="CW64" s="352"/>
      <c r="CX64" s="352"/>
      <c r="CY64" s="352"/>
    </row>
    <row r="65" spans="1:103" s="337" customFormat="1" ht="12" customHeight="1" x14ac:dyDescent="0.2">
      <c r="A65" s="337" t="s">
        <v>171</v>
      </c>
      <c r="B65" s="338">
        <f t="shared" si="1"/>
        <v>44200</v>
      </c>
      <c r="C65" s="337">
        <v>65</v>
      </c>
      <c r="D65" s="337">
        <v>14</v>
      </c>
      <c r="E65" s="337">
        <v>3</v>
      </c>
      <c r="F65" s="337">
        <v>8</v>
      </c>
      <c r="G65" s="339"/>
      <c r="H65" s="339"/>
      <c r="I65" s="339"/>
      <c r="J65" s="339"/>
      <c r="K65" s="339"/>
      <c r="L65" s="339"/>
      <c r="M65" s="339"/>
      <c r="N65" s="339"/>
      <c r="O65" s="337">
        <f t="shared" si="0"/>
        <v>90</v>
      </c>
      <c r="P65" s="345"/>
      <c r="Q65" s="341">
        <f t="shared" ref="Q65:Q88" si="12">(CL65+CN65)/SUM(C63:N63)</f>
        <v>461.72505617977527</v>
      </c>
      <c r="R65" s="347">
        <v>19.510000000000002</v>
      </c>
      <c r="S65" s="347">
        <v>36.159999999999997</v>
      </c>
      <c r="T65" s="347">
        <v>32.28</v>
      </c>
      <c r="U65" s="347">
        <v>54.64</v>
      </c>
      <c r="V65" s="348"/>
      <c r="W65" s="348"/>
      <c r="X65" s="348"/>
      <c r="Y65" s="348"/>
      <c r="Z65" s="348"/>
      <c r="AA65" s="348"/>
      <c r="AB65" s="348"/>
      <c r="AC65" s="348"/>
      <c r="AD65" s="347">
        <v>247.1</v>
      </c>
      <c r="AE65" s="347">
        <v>458.13</v>
      </c>
      <c r="AF65" s="347">
        <v>408.47</v>
      </c>
      <c r="AG65" s="347">
        <v>688.93</v>
      </c>
      <c r="AH65" s="348"/>
      <c r="AI65" s="348"/>
      <c r="AJ65" s="348"/>
      <c r="AK65" s="348"/>
      <c r="AL65" s="348"/>
      <c r="AM65" s="348"/>
      <c r="AN65" s="348"/>
      <c r="AO65" s="348"/>
      <c r="AP65" s="347">
        <v>38.869999999999997</v>
      </c>
      <c r="AQ65" s="347">
        <v>72.069999999999993</v>
      </c>
      <c r="AR65" s="347">
        <v>64.25</v>
      </c>
      <c r="AS65" s="347">
        <v>108.37</v>
      </c>
      <c r="AT65" s="348"/>
      <c r="AU65" s="348"/>
      <c r="AV65" s="348"/>
      <c r="AW65" s="348"/>
      <c r="AX65" s="348"/>
      <c r="AY65" s="348"/>
      <c r="AZ65" s="348"/>
      <c r="BA65" s="348"/>
      <c r="BB65" s="347">
        <v>336.94</v>
      </c>
      <c r="BC65" s="347">
        <v>624.66999999999996</v>
      </c>
      <c r="BD65" s="347">
        <v>556.95000000000005</v>
      </c>
      <c r="BE65" s="347">
        <v>939.37</v>
      </c>
      <c r="BF65" s="348"/>
      <c r="BG65" s="348"/>
      <c r="BH65" s="348"/>
      <c r="BI65" s="348"/>
      <c r="BJ65" s="348"/>
      <c r="BK65" s="348"/>
      <c r="BL65" s="348"/>
      <c r="BM65" s="348"/>
      <c r="BN65" s="342">
        <v>699.71</v>
      </c>
      <c r="BO65" s="342">
        <v>1305.6099999999999</v>
      </c>
      <c r="BP65" s="342">
        <v>1176.53</v>
      </c>
      <c r="BQ65" s="342">
        <v>1905.89</v>
      </c>
      <c r="BR65" s="339"/>
      <c r="BS65" s="339"/>
      <c r="BT65" s="339"/>
      <c r="BU65" s="339"/>
      <c r="BV65" s="339"/>
      <c r="BW65" s="339"/>
      <c r="BX65" s="339"/>
      <c r="BY65" s="339"/>
      <c r="BZ65" s="342">
        <v>-303.33</v>
      </c>
      <c r="CA65" s="341">
        <v>-637</v>
      </c>
      <c r="CB65" s="341">
        <v>-528.66999999999996</v>
      </c>
      <c r="CC65" s="341">
        <v>-767</v>
      </c>
      <c r="CD65" s="339"/>
      <c r="CE65" s="339"/>
      <c r="CF65" s="339"/>
      <c r="CG65" s="339"/>
      <c r="CH65" s="339"/>
      <c r="CI65" s="339"/>
      <c r="CJ65" s="339"/>
      <c r="CK65" s="339"/>
      <c r="CL65" s="343">
        <v>41093.53</v>
      </c>
      <c r="CM65" s="339"/>
      <c r="CN65" s="341">
        <v>0</v>
      </c>
      <c r="CO65" s="343">
        <v>552.66999999999996</v>
      </c>
      <c r="CP65" s="343">
        <v>0</v>
      </c>
      <c r="CQ65" s="343">
        <v>3474.6</v>
      </c>
      <c r="CR65" s="353"/>
      <c r="CS65" s="353"/>
      <c r="CT65" s="353"/>
      <c r="CU65" s="353"/>
      <c r="CV65" s="354"/>
      <c r="CW65" s="354"/>
      <c r="CX65" s="354"/>
      <c r="CY65" s="354"/>
    </row>
    <row r="66" spans="1:103" s="320" customFormat="1" ht="12" customHeight="1" x14ac:dyDescent="0.2">
      <c r="A66" s="320" t="s">
        <v>176</v>
      </c>
      <c r="B66" s="321">
        <f t="shared" si="1"/>
        <v>44231</v>
      </c>
      <c r="C66" s="320">
        <v>66</v>
      </c>
      <c r="D66" s="320">
        <v>14</v>
      </c>
      <c r="E66" s="320">
        <v>3</v>
      </c>
      <c r="F66" s="320">
        <v>7</v>
      </c>
      <c r="G66" s="325"/>
      <c r="H66" s="325"/>
      <c r="I66" s="325"/>
      <c r="J66" s="325"/>
      <c r="K66" s="325"/>
      <c r="L66" s="325"/>
      <c r="M66" s="325"/>
      <c r="N66" s="325"/>
      <c r="O66" s="320">
        <f t="shared" si="0"/>
        <v>90</v>
      </c>
      <c r="P66" s="333"/>
      <c r="Q66" s="322">
        <f t="shared" si="12"/>
        <v>467.52554347826083</v>
      </c>
      <c r="R66" s="327">
        <v>19.510000000000002</v>
      </c>
      <c r="S66" s="327">
        <v>36.159999999999997</v>
      </c>
      <c r="T66" s="327">
        <v>32.28</v>
      </c>
      <c r="U66" s="327">
        <v>54.64</v>
      </c>
      <c r="V66" s="326"/>
      <c r="W66" s="326"/>
      <c r="X66" s="326"/>
      <c r="Y66" s="326"/>
      <c r="Z66" s="326"/>
      <c r="AA66" s="326"/>
      <c r="AB66" s="326"/>
      <c r="AC66" s="326"/>
      <c r="AD66" s="327">
        <v>247.1</v>
      </c>
      <c r="AE66" s="327">
        <v>458.13</v>
      </c>
      <c r="AF66" s="327">
        <v>408.47</v>
      </c>
      <c r="AG66" s="327">
        <v>688.93</v>
      </c>
      <c r="AH66" s="326"/>
      <c r="AI66" s="326"/>
      <c r="AJ66" s="326"/>
      <c r="AK66" s="326"/>
      <c r="AL66" s="326"/>
      <c r="AM66" s="326"/>
      <c r="AN66" s="326"/>
      <c r="AO66" s="326"/>
      <c r="AP66" s="327">
        <v>38.869999999999997</v>
      </c>
      <c r="AQ66" s="327">
        <v>72.069999999999993</v>
      </c>
      <c r="AR66" s="327">
        <v>64.25</v>
      </c>
      <c r="AS66" s="327">
        <v>108.37</v>
      </c>
      <c r="AT66" s="326"/>
      <c r="AU66" s="326"/>
      <c r="AV66" s="326"/>
      <c r="AW66" s="326"/>
      <c r="AX66" s="326"/>
      <c r="AY66" s="326"/>
      <c r="AZ66" s="326"/>
      <c r="BA66" s="326"/>
      <c r="BB66" s="327">
        <v>336.94</v>
      </c>
      <c r="BC66" s="327">
        <v>624.66999999999996</v>
      </c>
      <c r="BD66" s="327">
        <v>556.95000000000005</v>
      </c>
      <c r="BE66" s="327">
        <v>939.37</v>
      </c>
      <c r="BF66" s="326"/>
      <c r="BG66" s="326"/>
      <c r="BH66" s="326"/>
      <c r="BI66" s="326"/>
      <c r="BJ66" s="326"/>
      <c r="BK66" s="326"/>
      <c r="BL66" s="326"/>
      <c r="BM66" s="326"/>
      <c r="BN66" s="329">
        <v>699.71</v>
      </c>
      <c r="BO66" s="329">
        <v>1305.6099999999999</v>
      </c>
      <c r="BP66" s="329">
        <v>1176.53</v>
      </c>
      <c r="BQ66" s="329">
        <v>1905.89</v>
      </c>
      <c r="BR66" s="325"/>
      <c r="BS66" s="325"/>
      <c r="BT66" s="325"/>
      <c r="BU66" s="325"/>
      <c r="BV66" s="325"/>
      <c r="BW66" s="325"/>
      <c r="BX66" s="325"/>
      <c r="BY66" s="325"/>
      <c r="BZ66" s="329">
        <v>-303.33</v>
      </c>
      <c r="CA66" s="322">
        <v>-637</v>
      </c>
      <c r="CB66" s="322">
        <v>-528.66999999999996</v>
      </c>
      <c r="CC66" s="322">
        <v>-767</v>
      </c>
      <c r="CD66" s="325"/>
      <c r="CE66" s="325"/>
      <c r="CF66" s="325"/>
      <c r="CG66" s="325"/>
      <c r="CH66" s="325"/>
      <c r="CI66" s="325"/>
      <c r="CJ66" s="325"/>
      <c r="CK66" s="325"/>
      <c r="CL66" s="323">
        <v>43012.35</v>
      </c>
      <c r="CM66" s="325"/>
      <c r="CN66" s="322">
        <v>0</v>
      </c>
      <c r="CO66" s="323">
        <v>2400.59</v>
      </c>
      <c r="CP66" s="323">
        <v>0</v>
      </c>
      <c r="CQ66" s="323">
        <v>1953.25</v>
      </c>
      <c r="CR66" s="351"/>
      <c r="CS66" s="351"/>
      <c r="CT66" s="351"/>
      <c r="CU66" s="351"/>
      <c r="CV66" s="352"/>
      <c r="CW66" s="352"/>
      <c r="CX66" s="352"/>
      <c r="CY66" s="352"/>
    </row>
    <row r="67" spans="1:103" s="320" customFormat="1" ht="12" customHeight="1" x14ac:dyDescent="0.2">
      <c r="B67" s="321">
        <f t="shared" si="1"/>
        <v>44262</v>
      </c>
      <c r="C67" s="320">
        <v>66</v>
      </c>
      <c r="D67" s="320">
        <v>14</v>
      </c>
      <c r="E67" s="320">
        <v>3</v>
      </c>
      <c r="F67" s="320">
        <v>7</v>
      </c>
      <c r="G67" s="325"/>
      <c r="H67" s="325"/>
      <c r="I67" s="325"/>
      <c r="J67" s="325"/>
      <c r="K67" s="325"/>
      <c r="L67" s="325"/>
      <c r="M67" s="325"/>
      <c r="N67" s="325"/>
      <c r="O67" s="320">
        <f t="shared" si="0"/>
        <v>90</v>
      </c>
      <c r="P67" s="333"/>
      <c r="Q67" s="322">
        <f t="shared" si="12"/>
        <v>449.80599999999998</v>
      </c>
      <c r="R67" s="327">
        <v>19.510000000000002</v>
      </c>
      <c r="S67" s="327">
        <v>36.159999999999997</v>
      </c>
      <c r="T67" s="327">
        <v>32.28</v>
      </c>
      <c r="U67" s="327">
        <v>54.64</v>
      </c>
      <c r="V67" s="326"/>
      <c r="W67" s="326"/>
      <c r="X67" s="326"/>
      <c r="Y67" s="326"/>
      <c r="Z67" s="326"/>
      <c r="AA67" s="326"/>
      <c r="AB67" s="326"/>
      <c r="AC67" s="326"/>
      <c r="AD67" s="327">
        <v>247.1</v>
      </c>
      <c r="AE67" s="327">
        <v>458.13</v>
      </c>
      <c r="AF67" s="327">
        <v>408.47</v>
      </c>
      <c r="AG67" s="327">
        <v>688.93</v>
      </c>
      <c r="AH67" s="326"/>
      <c r="AI67" s="326"/>
      <c r="AJ67" s="326"/>
      <c r="AK67" s="326"/>
      <c r="AL67" s="326"/>
      <c r="AM67" s="326"/>
      <c r="AN67" s="326"/>
      <c r="AO67" s="326"/>
      <c r="AP67" s="327">
        <v>38.869999999999997</v>
      </c>
      <c r="AQ67" s="327">
        <v>72.069999999999993</v>
      </c>
      <c r="AR67" s="327">
        <v>64.25</v>
      </c>
      <c r="AS67" s="327">
        <v>108.37</v>
      </c>
      <c r="AT67" s="326"/>
      <c r="AU67" s="326"/>
      <c r="AV67" s="326"/>
      <c r="AW67" s="326"/>
      <c r="AX67" s="326"/>
      <c r="AY67" s="326"/>
      <c r="AZ67" s="326"/>
      <c r="BA67" s="326"/>
      <c r="BB67" s="327">
        <v>336.94</v>
      </c>
      <c r="BC67" s="327">
        <v>624.66999999999996</v>
      </c>
      <c r="BD67" s="327">
        <v>556.95000000000005</v>
      </c>
      <c r="BE67" s="327">
        <v>939.37</v>
      </c>
      <c r="BF67" s="326"/>
      <c r="BG67" s="326"/>
      <c r="BH67" s="326"/>
      <c r="BI67" s="326"/>
      <c r="BJ67" s="326"/>
      <c r="BK67" s="326"/>
      <c r="BL67" s="326"/>
      <c r="BM67" s="326"/>
      <c r="BN67" s="329">
        <v>699.71</v>
      </c>
      <c r="BO67" s="329">
        <v>1305.6099999999999</v>
      </c>
      <c r="BP67" s="329">
        <v>1176.53</v>
      </c>
      <c r="BQ67" s="329">
        <v>1905.89</v>
      </c>
      <c r="BR67" s="325"/>
      <c r="BS67" s="325"/>
      <c r="BT67" s="325"/>
      <c r="BU67" s="325"/>
      <c r="BV67" s="325"/>
      <c r="BW67" s="325"/>
      <c r="BX67" s="325"/>
      <c r="BY67" s="325"/>
      <c r="BZ67" s="329">
        <v>-303.33</v>
      </c>
      <c r="CA67" s="322">
        <v>-637</v>
      </c>
      <c r="CB67" s="322">
        <v>-528.66999999999996</v>
      </c>
      <c r="CC67" s="322">
        <v>-767</v>
      </c>
      <c r="CD67" s="325"/>
      <c r="CE67" s="325"/>
      <c r="CF67" s="325"/>
      <c r="CG67" s="325"/>
      <c r="CH67" s="325"/>
      <c r="CI67" s="325"/>
      <c r="CJ67" s="325"/>
      <c r="CK67" s="325"/>
      <c r="CL67" s="323">
        <v>40482.54</v>
      </c>
      <c r="CM67" s="325"/>
      <c r="CN67" s="322">
        <v>0</v>
      </c>
      <c r="CO67" s="323">
        <v>6032.2800000000007</v>
      </c>
      <c r="CP67" s="323">
        <v>0</v>
      </c>
      <c r="CQ67" s="323">
        <v>3225</v>
      </c>
      <c r="CR67" s="351"/>
      <c r="CS67" s="351"/>
      <c r="CT67" s="351"/>
      <c r="CU67" s="351"/>
      <c r="CV67" s="352"/>
      <c r="CW67" s="352"/>
      <c r="CX67" s="352"/>
      <c r="CY67" s="352"/>
    </row>
    <row r="68" spans="1:103" s="320" customFormat="1" ht="12" customHeight="1" x14ac:dyDescent="0.2">
      <c r="A68" s="320" t="s">
        <v>173</v>
      </c>
      <c r="B68" s="321">
        <f t="shared" si="1"/>
        <v>44293</v>
      </c>
      <c r="C68" s="320">
        <v>64</v>
      </c>
      <c r="D68" s="320">
        <v>11</v>
      </c>
      <c r="E68" s="320">
        <v>3</v>
      </c>
      <c r="F68" s="320">
        <v>7</v>
      </c>
      <c r="G68" s="325"/>
      <c r="H68" s="325"/>
      <c r="I68" s="325"/>
      <c r="J68" s="325"/>
      <c r="K68" s="325"/>
      <c r="L68" s="325"/>
      <c r="M68" s="325"/>
      <c r="N68" s="325"/>
      <c r="O68" s="320">
        <f t="shared" si="0"/>
        <v>85</v>
      </c>
      <c r="P68" s="333"/>
      <c r="Q68" s="322">
        <f t="shared" si="12"/>
        <v>605.81922222222227</v>
      </c>
      <c r="R68" s="327">
        <v>19.510000000000002</v>
      </c>
      <c r="S68" s="327">
        <v>36.159999999999997</v>
      </c>
      <c r="T68" s="327">
        <v>32.28</v>
      </c>
      <c r="U68" s="327">
        <v>54.64</v>
      </c>
      <c r="V68" s="326"/>
      <c r="W68" s="326"/>
      <c r="X68" s="326"/>
      <c r="Y68" s="326"/>
      <c r="Z68" s="326"/>
      <c r="AA68" s="326"/>
      <c r="AB68" s="326"/>
      <c r="AC68" s="326"/>
      <c r="AD68" s="327">
        <v>247.1</v>
      </c>
      <c r="AE68" s="327">
        <v>458.13</v>
      </c>
      <c r="AF68" s="327">
        <v>408.47</v>
      </c>
      <c r="AG68" s="327">
        <v>688.93</v>
      </c>
      <c r="AH68" s="326"/>
      <c r="AI68" s="326"/>
      <c r="AJ68" s="326"/>
      <c r="AK68" s="326"/>
      <c r="AL68" s="326"/>
      <c r="AM68" s="326"/>
      <c r="AN68" s="326"/>
      <c r="AO68" s="326"/>
      <c r="AP68" s="327">
        <v>38.869999999999997</v>
      </c>
      <c r="AQ68" s="327">
        <v>72.069999999999993</v>
      </c>
      <c r="AR68" s="327">
        <v>64.25</v>
      </c>
      <c r="AS68" s="327">
        <v>108.37</v>
      </c>
      <c r="AT68" s="326"/>
      <c r="AU68" s="326"/>
      <c r="AV68" s="326"/>
      <c r="AW68" s="326"/>
      <c r="AX68" s="326"/>
      <c r="AY68" s="326"/>
      <c r="AZ68" s="326"/>
      <c r="BA68" s="326"/>
      <c r="BB68" s="327">
        <v>336.94</v>
      </c>
      <c r="BC68" s="327">
        <v>624.66999999999996</v>
      </c>
      <c r="BD68" s="327">
        <v>556.95000000000005</v>
      </c>
      <c r="BE68" s="327">
        <v>939.37</v>
      </c>
      <c r="BF68" s="326"/>
      <c r="BG68" s="326"/>
      <c r="BH68" s="326"/>
      <c r="BI68" s="326"/>
      <c r="BJ68" s="326"/>
      <c r="BK68" s="326"/>
      <c r="BL68" s="326"/>
      <c r="BM68" s="326"/>
      <c r="BN68" s="329">
        <v>699.71</v>
      </c>
      <c r="BO68" s="329">
        <v>1305.6099999999999</v>
      </c>
      <c r="BP68" s="329">
        <v>1176.53</v>
      </c>
      <c r="BQ68" s="329">
        <v>1905.89</v>
      </c>
      <c r="BR68" s="325"/>
      <c r="BS68" s="325"/>
      <c r="BT68" s="325"/>
      <c r="BU68" s="325"/>
      <c r="BV68" s="325"/>
      <c r="BW68" s="325"/>
      <c r="BX68" s="325"/>
      <c r="BY68" s="325"/>
      <c r="BZ68" s="329">
        <v>-303.33</v>
      </c>
      <c r="CA68" s="322">
        <v>-637</v>
      </c>
      <c r="CB68" s="322">
        <v>-528.66999999999996</v>
      </c>
      <c r="CC68" s="322">
        <v>-767</v>
      </c>
      <c r="CD68" s="325"/>
      <c r="CE68" s="325"/>
      <c r="CF68" s="325"/>
      <c r="CG68" s="325"/>
      <c r="CH68" s="325"/>
      <c r="CI68" s="325"/>
      <c r="CJ68" s="325"/>
      <c r="CK68" s="325"/>
      <c r="CL68" s="323">
        <v>54523.73</v>
      </c>
      <c r="CM68" s="325"/>
      <c r="CN68" s="322">
        <v>0</v>
      </c>
      <c r="CO68" s="323">
        <v>2762.5999999999985</v>
      </c>
      <c r="CP68" s="323">
        <v>980.08</v>
      </c>
      <c r="CQ68" s="323">
        <v>1100</v>
      </c>
      <c r="CR68" s="351"/>
      <c r="CS68" s="351"/>
      <c r="CT68" s="351"/>
      <c r="CU68" s="351"/>
      <c r="CV68" s="352"/>
      <c r="CW68" s="352"/>
      <c r="CX68" s="352"/>
      <c r="CY68" s="352"/>
    </row>
    <row r="69" spans="1:103" s="320" customFormat="1" ht="12" customHeight="1" x14ac:dyDescent="0.2">
      <c r="A69" s="320" t="s">
        <v>177</v>
      </c>
      <c r="B69" s="321">
        <f t="shared" si="1"/>
        <v>44324</v>
      </c>
      <c r="C69" s="320">
        <v>62</v>
      </c>
      <c r="D69" s="320">
        <v>11</v>
      </c>
      <c r="E69" s="320">
        <v>3</v>
      </c>
      <c r="F69" s="320">
        <v>7</v>
      </c>
      <c r="G69" s="325"/>
      <c r="H69" s="325"/>
      <c r="I69" s="325"/>
      <c r="J69" s="325"/>
      <c r="K69" s="325"/>
      <c r="L69" s="325"/>
      <c r="M69" s="325"/>
      <c r="N69" s="325"/>
      <c r="O69" s="320">
        <f t="shared" si="0"/>
        <v>83</v>
      </c>
      <c r="P69" s="333"/>
      <c r="Q69" s="322">
        <f t="shared" si="12"/>
        <v>536.0867777777778</v>
      </c>
      <c r="R69" s="327">
        <v>19.510000000000002</v>
      </c>
      <c r="S69" s="327">
        <v>36.159999999999997</v>
      </c>
      <c r="T69" s="327">
        <v>32.28</v>
      </c>
      <c r="U69" s="327">
        <v>54.64</v>
      </c>
      <c r="V69" s="326"/>
      <c r="W69" s="326"/>
      <c r="X69" s="326"/>
      <c r="Y69" s="326"/>
      <c r="Z69" s="326"/>
      <c r="AA69" s="326"/>
      <c r="AB69" s="326"/>
      <c r="AC69" s="326"/>
      <c r="AD69" s="327">
        <v>247.1</v>
      </c>
      <c r="AE69" s="327">
        <v>458.13</v>
      </c>
      <c r="AF69" s="327">
        <v>408.47</v>
      </c>
      <c r="AG69" s="327">
        <v>688.93</v>
      </c>
      <c r="AH69" s="326"/>
      <c r="AI69" s="326"/>
      <c r="AJ69" s="326"/>
      <c r="AK69" s="326"/>
      <c r="AL69" s="326"/>
      <c r="AM69" s="326"/>
      <c r="AN69" s="326"/>
      <c r="AO69" s="326"/>
      <c r="AP69" s="327">
        <v>38.869999999999997</v>
      </c>
      <c r="AQ69" s="327">
        <v>72.069999999999993</v>
      </c>
      <c r="AR69" s="327">
        <v>64.25</v>
      </c>
      <c r="AS69" s="327">
        <v>108.37</v>
      </c>
      <c r="AT69" s="326"/>
      <c r="AU69" s="326"/>
      <c r="AV69" s="326"/>
      <c r="AW69" s="326"/>
      <c r="AX69" s="326"/>
      <c r="AY69" s="326"/>
      <c r="AZ69" s="326"/>
      <c r="BA69" s="326"/>
      <c r="BB69" s="327">
        <v>336.94</v>
      </c>
      <c r="BC69" s="327">
        <v>624.66999999999996</v>
      </c>
      <c r="BD69" s="327">
        <v>556.95000000000005</v>
      </c>
      <c r="BE69" s="327">
        <v>939.37</v>
      </c>
      <c r="BF69" s="326"/>
      <c r="BG69" s="326"/>
      <c r="BH69" s="326"/>
      <c r="BI69" s="326"/>
      <c r="BJ69" s="326"/>
      <c r="BK69" s="326"/>
      <c r="BL69" s="326"/>
      <c r="BM69" s="326"/>
      <c r="BN69" s="329">
        <v>699.71</v>
      </c>
      <c r="BO69" s="329">
        <v>1305.6099999999999</v>
      </c>
      <c r="BP69" s="329">
        <v>1176.53</v>
      </c>
      <c r="BQ69" s="329">
        <v>1905.89</v>
      </c>
      <c r="BR69" s="325"/>
      <c r="BS69" s="325"/>
      <c r="BT69" s="325"/>
      <c r="BU69" s="325"/>
      <c r="BV69" s="325"/>
      <c r="BW69" s="325"/>
      <c r="BX69" s="325"/>
      <c r="BY69" s="325"/>
      <c r="BZ69" s="329">
        <v>-303.33</v>
      </c>
      <c r="CA69" s="322">
        <v>-637</v>
      </c>
      <c r="CB69" s="322">
        <v>-528.66999999999996</v>
      </c>
      <c r="CC69" s="322">
        <v>-767</v>
      </c>
      <c r="CD69" s="325"/>
      <c r="CE69" s="325"/>
      <c r="CF69" s="325"/>
      <c r="CG69" s="325"/>
      <c r="CH69" s="325"/>
      <c r="CI69" s="325"/>
      <c r="CJ69" s="325"/>
      <c r="CK69" s="325"/>
      <c r="CL69" s="323">
        <v>48247.81</v>
      </c>
      <c r="CM69" s="325"/>
      <c r="CN69" s="322">
        <v>0</v>
      </c>
      <c r="CO69" s="323">
        <v>2685.9800000000014</v>
      </c>
      <c r="CP69" s="323">
        <v>0</v>
      </c>
      <c r="CQ69" s="323">
        <v>1779</v>
      </c>
      <c r="CR69" s="351"/>
      <c r="CS69" s="351"/>
      <c r="CT69" s="351"/>
      <c r="CU69" s="351"/>
      <c r="CV69" s="352"/>
      <c r="CW69" s="352"/>
      <c r="CX69" s="352"/>
      <c r="CY69" s="352"/>
    </row>
    <row r="70" spans="1:103" s="320" customFormat="1" ht="12" customHeight="1" x14ac:dyDescent="0.2">
      <c r="A70" s="320" t="s">
        <v>175</v>
      </c>
      <c r="B70" s="321">
        <f t="shared" si="1"/>
        <v>44355</v>
      </c>
      <c r="C70" s="320">
        <v>61</v>
      </c>
      <c r="D70" s="320">
        <v>11</v>
      </c>
      <c r="E70" s="320">
        <v>3</v>
      </c>
      <c r="F70" s="320">
        <v>6</v>
      </c>
      <c r="G70" s="325"/>
      <c r="H70" s="325"/>
      <c r="I70" s="325"/>
      <c r="J70" s="325"/>
      <c r="K70" s="325"/>
      <c r="L70" s="325"/>
      <c r="M70" s="325"/>
      <c r="N70" s="325"/>
      <c r="O70" s="320">
        <f t="shared" ref="O70:O88" si="13">SUM(C70:N70)</f>
        <v>81</v>
      </c>
      <c r="P70" s="333"/>
      <c r="Q70" s="322">
        <f t="shared" si="12"/>
        <v>727.23988235294121</v>
      </c>
      <c r="R70" s="327">
        <v>19.510000000000002</v>
      </c>
      <c r="S70" s="327">
        <v>36.159999999999997</v>
      </c>
      <c r="T70" s="327">
        <v>32.28</v>
      </c>
      <c r="U70" s="327">
        <v>54.64</v>
      </c>
      <c r="V70" s="326"/>
      <c r="W70" s="326"/>
      <c r="X70" s="326"/>
      <c r="Y70" s="326"/>
      <c r="Z70" s="326"/>
      <c r="AA70" s="326"/>
      <c r="AB70" s="326"/>
      <c r="AC70" s="326"/>
      <c r="AD70" s="327">
        <v>247.1</v>
      </c>
      <c r="AE70" s="327">
        <v>458.13</v>
      </c>
      <c r="AF70" s="327">
        <v>408.47</v>
      </c>
      <c r="AG70" s="327">
        <v>688.93</v>
      </c>
      <c r="AH70" s="326"/>
      <c r="AI70" s="326"/>
      <c r="AJ70" s="326"/>
      <c r="AK70" s="326"/>
      <c r="AL70" s="326"/>
      <c r="AM70" s="326"/>
      <c r="AN70" s="326"/>
      <c r="AO70" s="326"/>
      <c r="AP70" s="327">
        <v>38.869999999999997</v>
      </c>
      <c r="AQ70" s="327">
        <v>72.069999999999993</v>
      </c>
      <c r="AR70" s="327">
        <v>64.25</v>
      </c>
      <c r="AS70" s="327">
        <v>108.37</v>
      </c>
      <c r="AT70" s="326"/>
      <c r="AU70" s="326"/>
      <c r="AV70" s="326"/>
      <c r="AW70" s="326"/>
      <c r="AX70" s="326"/>
      <c r="AY70" s="326"/>
      <c r="AZ70" s="326"/>
      <c r="BA70" s="326"/>
      <c r="BB70" s="327">
        <v>336.94</v>
      </c>
      <c r="BC70" s="327">
        <v>624.66999999999996</v>
      </c>
      <c r="BD70" s="327">
        <v>556.95000000000005</v>
      </c>
      <c r="BE70" s="327">
        <v>939.37</v>
      </c>
      <c r="BF70" s="326"/>
      <c r="BG70" s="326"/>
      <c r="BH70" s="326"/>
      <c r="BI70" s="326"/>
      <c r="BJ70" s="326"/>
      <c r="BK70" s="326"/>
      <c r="BL70" s="326"/>
      <c r="BM70" s="326"/>
      <c r="BN70" s="329">
        <v>699.71</v>
      </c>
      <c r="BO70" s="329">
        <v>1305.6099999999999</v>
      </c>
      <c r="BP70" s="329">
        <v>1176.53</v>
      </c>
      <c r="BQ70" s="329">
        <v>1905.89</v>
      </c>
      <c r="BR70" s="325"/>
      <c r="BS70" s="325"/>
      <c r="BT70" s="325"/>
      <c r="BU70" s="325"/>
      <c r="BV70" s="325"/>
      <c r="BW70" s="325"/>
      <c r="BX70" s="325"/>
      <c r="BY70" s="325"/>
      <c r="BZ70" s="329">
        <v>-303.33</v>
      </c>
      <c r="CA70" s="322">
        <v>-637</v>
      </c>
      <c r="CB70" s="322">
        <v>-528.66999999999996</v>
      </c>
      <c r="CC70" s="322">
        <v>-767</v>
      </c>
      <c r="CD70" s="325"/>
      <c r="CE70" s="325"/>
      <c r="CF70" s="325"/>
      <c r="CG70" s="325"/>
      <c r="CH70" s="325"/>
      <c r="CI70" s="325"/>
      <c r="CJ70" s="325"/>
      <c r="CK70" s="325"/>
      <c r="CL70" s="323">
        <v>61815.39</v>
      </c>
      <c r="CM70" s="325"/>
      <c r="CN70" s="322">
        <v>0</v>
      </c>
      <c r="CO70" s="323">
        <v>3775.9600000000009</v>
      </c>
      <c r="CP70" s="323">
        <v>0</v>
      </c>
      <c r="CQ70" s="323">
        <v>1485.2</v>
      </c>
      <c r="CR70" s="351"/>
      <c r="CS70" s="351"/>
      <c r="CT70" s="351"/>
      <c r="CU70" s="351"/>
      <c r="CV70" s="352"/>
      <c r="CW70" s="352"/>
      <c r="CX70" s="352"/>
      <c r="CY70" s="352"/>
    </row>
    <row r="71" spans="1:103" s="320" customFormat="1" ht="12" customHeight="1" x14ac:dyDescent="0.2">
      <c r="B71" s="321">
        <f t="shared" ref="B71:B88" si="14">31+B70</f>
        <v>44386</v>
      </c>
      <c r="C71" s="320">
        <v>61</v>
      </c>
      <c r="D71" s="320">
        <v>10</v>
      </c>
      <c r="E71" s="320">
        <v>3</v>
      </c>
      <c r="F71" s="320">
        <v>6</v>
      </c>
      <c r="G71" s="325"/>
      <c r="H71" s="325"/>
      <c r="I71" s="325"/>
      <c r="J71" s="325"/>
      <c r="K71" s="325"/>
      <c r="L71" s="325"/>
      <c r="M71" s="325"/>
      <c r="N71" s="325"/>
      <c r="O71" s="320">
        <f t="shared" si="13"/>
        <v>80</v>
      </c>
      <c r="P71" s="333"/>
      <c r="Q71" s="322">
        <f t="shared" si="12"/>
        <v>121.61156626506026</v>
      </c>
      <c r="R71" s="327">
        <v>19.510000000000002</v>
      </c>
      <c r="S71" s="327">
        <v>36.159999999999997</v>
      </c>
      <c r="T71" s="327">
        <v>32.28</v>
      </c>
      <c r="U71" s="327">
        <v>54.64</v>
      </c>
      <c r="V71" s="326"/>
      <c r="W71" s="326"/>
      <c r="X71" s="326"/>
      <c r="Y71" s="326"/>
      <c r="Z71" s="326"/>
      <c r="AA71" s="326"/>
      <c r="AB71" s="326"/>
      <c r="AC71" s="326"/>
      <c r="AD71" s="327">
        <v>247.1</v>
      </c>
      <c r="AE71" s="327">
        <v>458.13</v>
      </c>
      <c r="AF71" s="327">
        <v>408.47</v>
      </c>
      <c r="AG71" s="327">
        <v>688.93</v>
      </c>
      <c r="AH71" s="326"/>
      <c r="AI71" s="326"/>
      <c r="AJ71" s="326"/>
      <c r="AK71" s="326"/>
      <c r="AL71" s="326"/>
      <c r="AM71" s="326"/>
      <c r="AN71" s="326"/>
      <c r="AO71" s="326"/>
      <c r="AP71" s="327">
        <v>38.869999999999997</v>
      </c>
      <c r="AQ71" s="327">
        <v>72.069999999999993</v>
      </c>
      <c r="AR71" s="327">
        <v>64.25</v>
      </c>
      <c r="AS71" s="327">
        <v>108.37</v>
      </c>
      <c r="AT71" s="326"/>
      <c r="AU71" s="326"/>
      <c r="AV71" s="326"/>
      <c r="AW71" s="326"/>
      <c r="AX71" s="326"/>
      <c r="AY71" s="326"/>
      <c r="AZ71" s="326"/>
      <c r="BA71" s="326"/>
      <c r="BB71" s="327">
        <v>336.94</v>
      </c>
      <c r="BC71" s="327">
        <v>624.66999999999996</v>
      </c>
      <c r="BD71" s="327">
        <v>556.95000000000005</v>
      </c>
      <c r="BE71" s="327">
        <v>939.37</v>
      </c>
      <c r="BF71" s="326"/>
      <c r="BG71" s="326"/>
      <c r="BH71" s="326"/>
      <c r="BI71" s="326"/>
      <c r="BJ71" s="326"/>
      <c r="BK71" s="326"/>
      <c r="BL71" s="326"/>
      <c r="BM71" s="326"/>
      <c r="BN71" s="329">
        <v>699.71</v>
      </c>
      <c r="BO71" s="329">
        <v>1305.6099999999999</v>
      </c>
      <c r="BP71" s="329">
        <v>1176.53</v>
      </c>
      <c r="BQ71" s="329">
        <v>1905.89</v>
      </c>
      <c r="BR71" s="325"/>
      <c r="BS71" s="325"/>
      <c r="BT71" s="325"/>
      <c r="BU71" s="325"/>
      <c r="BV71" s="325"/>
      <c r="BW71" s="325"/>
      <c r="BX71" s="325"/>
      <c r="BY71" s="325"/>
      <c r="BZ71" s="329">
        <v>-303.33</v>
      </c>
      <c r="CA71" s="322">
        <v>-637</v>
      </c>
      <c r="CB71" s="322">
        <v>-528.66999999999996</v>
      </c>
      <c r="CC71" s="322">
        <v>-767</v>
      </c>
      <c r="CD71" s="325"/>
      <c r="CE71" s="325"/>
      <c r="CF71" s="325"/>
      <c r="CG71" s="325"/>
      <c r="CH71" s="325"/>
      <c r="CI71" s="325"/>
      <c r="CJ71" s="325"/>
      <c r="CK71" s="325"/>
      <c r="CL71" s="323">
        <v>54599.68</v>
      </c>
      <c r="CM71" s="325"/>
      <c r="CN71" s="322">
        <v>-44505.919999999998</v>
      </c>
      <c r="CO71" s="323">
        <v>3044.4699999999957</v>
      </c>
      <c r="CP71" s="323">
        <v>0</v>
      </c>
      <c r="CQ71" s="323">
        <v>1148</v>
      </c>
      <c r="CR71" s="351"/>
      <c r="CS71" s="351"/>
      <c r="CT71" s="351"/>
      <c r="CU71" s="351"/>
      <c r="CV71" s="352"/>
      <c r="CW71" s="352"/>
      <c r="CX71" s="352"/>
      <c r="CY71" s="352"/>
    </row>
    <row r="72" spans="1:103" s="320" customFormat="1" ht="12" customHeight="1" x14ac:dyDescent="0.2">
      <c r="A72" s="322" t="s">
        <v>178</v>
      </c>
      <c r="B72" s="321">
        <f t="shared" si="14"/>
        <v>44417</v>
      </c>
      <c r="C72" s="320">
        <v>61</v>
      </c>
      <c r="D72" s="320">
        <v>10</v>
      </c>
      <c r="E72" s="320">
        <v>3</v>
      </c>
      <c r="F72" s="320">
        <v>6</v>
      </c>
      <c r="G72" s="325"/>
      <c r="H72" s="325"/>
      <c r="I72" s="325"/>
      <c r="J72" s="325"/>
      <c r="K72" s="325"/>
      <c r="L72" s="325"/>
      <c r="M72" s="325"/>
      <c r="N72" s="325"/>
      <c r="O72" s="320">
        <f t="shared" si="13"/>
        <v>80</v>
      </c>
      <c r="P72" s="333"/>
      <c r="Q72" s="322">
        <f t="shared" si="12"/>
        <v>392.76086419753085</v>
      </c>
      <c r="R72" s="327">
        <v>19.510000000000002</v>
      </c>
      <c r="S72" s="327">
        <v>36.159999999999997</v>
      </c>
      <c r="T72" s="327">
        <v>32.28</v>
      </c>
      <c r="U72" s="327">
        <v>54.64</v>
      </c>
      <c r="V72" s="326"/>
      <c r="W72" s="326"/>
      <c r="X72" s="326"/>
      <c r="Y72" s="326"/>
      <c r="Z72" s="326"/>
      <c r="AA72" s="326"/>
      <c r="AB72" s="326"/>
      <c r="AC72" s="326"/>
      <c r="AD72" s="327">
        <v>247.1</v>
      </c>
      <c r="AE72" s="327">
        <v>458.13</v>
      </c>
      <c r="AF72" s="327">
        <v>408.47</v>
      </c>
      <c r="AG72" s="327">
        <v>688.93</v>
      </c>
      <c r="AH72" s="326"/>
      <c r="AI72" s="326"/>
      <c r="AJ72" s="326"/>
      <c r="AK72" s="326"/>
      <c r="AL72" s="326"/>
      <c r="AM72" s="326"/>
      <c r="AN72" s="326"/>
      <c r="AO72" s="326"/>
      <c r="AP72" s="327">
        <v>38.869999999999997</v>
      </c>
      <c r="AQ72" s="327">
        <v>72.069999999999993</v>
      </c>
      <c r="AR72" s="327">
        <v>64.25</v>
      </c>
      <c r="AS72" s="327">
        <v>108.37</v>
      </c>
      <c r="AT72" s="326"/>
      <c r="AU72" s="326"/>
      <c r="AV72" s="326"/>
      <c r="AW72" s="326"/>
      <c r="AX72" s="326"/>
      <c r="AY72" s="326"/>
      <c r="AZ72" s="326"/>
      <c r="BA72" s="326"/>
      <c r="BB72" s="327">
        <v>336.94</v>
      </c>
      <c r="BC72" s="327">
        <v>624.66999999999996</v>
      </c>
      <c r="BD72" s="327">
        <v>556.95000000000005</v>
      </c>
      <c r="BE72" s="327">
        <v>939.37</v>
      </c>
      <c r="BF72" s="326"/>
      <c r="BG72" s="326"/>
      <c r="BH72" s="326"/>
      <c r="BI72" s="326"/>
      <c r="BJ72" s="326"/>
      <c r="BK72" s="326"/>
      <c r="BL72" s="326"/>
      <c r="BM72" s="326"/>
      <c r="BN72" s="329">
        <v>699.71</v>
      </c>
      <c r="BO72" s="329">
        <v>1305.6099999999999</v>
      </c>
      <c r="BP72" s="329">
        <v>1176.53</v>
      </c>
      <c r="BQ72" s="329">
        <v>1905.89</v>
      </c>
      <c r="BR72" s="325"/>
      <c r="BS72" s="325"/>
      <c r="BT72" s="325"/>
      <c r="BU72" s="325"/>
      <c r="BV72" s="325"/>
      <c r="BW72" s="325"/>
      <c r="BX72" s="325"/>
      <c r="BY72" s="325"/>
      <c r="BZ72" s="329">
        <v>-303.33</v>
      </c>
      <c r="CA72" s="322">
        <v>-637</v>
      </c>
      <c r="CB72" s="322">
        <v>-528.66999999999996</v>
      </c>
      <c r="CC72" s="322">
        <v>-767</v>
      </c>
      <c r="CD72" s="325"/>
      <c r="CE72" s="325"/>
      <c r="CF72" s="325"/>
      <c r="CG72" s="325"/>
      <c r="CH72" s="325"/>
      <c r="CI72" s="325"/>
      <c r="CJ72" s="325"/>
      <c r="CK72" s="325"/>
      <c r="CL72" s="323">
        <v>32054.84</v>
      </c>
      <c r="CM72" s="325"/>
      <c r="CN72" s="322">
        <v>-241.20999999999913</v>
      </c>
      <c r="CO72" s="323">
        <v>183.99000000000535</v>
      </c>
      <c r="CP72" s="323">
        <v>0</v>
      </c>
      <c r="CQ72" s="323">
        <v>2657.4</v>
      </c>
      <c r="CR72" s="351"/>
      <c r="CS72" s="351"/>
      <c r="CT72" s="351"/>
      <c r="CU72" s="351"/>
      <c r="CV72" s="352"/>
      <c r="CW72" s="352"/>
      <c r="CX72" s="352"/>
      <c r="CY72" s="352"/>
    </row>
    <row r="73" spans="1:103" s="320" customFormat="1" ht="12" customHeight="1" x14ac:dyDescent="0.2">
      <c r="A73" s="322">
        <v>50000</v>
      </c>
      <c r="B73" s="321">
        <f t="shared" si="14"/>
        <v>44448</v>
      </c>
      <c r="C73" s="320">
        <v>61</v>
      </c>
      <c r="D73" s="320">
        <v>10</v>
      </c>
      <c r="E73" s="320">
        <v>3</v>
      </c>
      <c r="F73" s="320">
        <v>6</v>
      </c>
      <c r="G73" s="325"/>
      <c r="H73" s="325"/>
      <c r="I73" s="325"/>
      <c r="J73" s="325"/>
      <c r="K73" s="325"/>
      <c r="L73" s="325"/>
      <c r="M73" s="325"/>
      <c r="N73" s="325"/>
      <c r="O73" s="320">
        <f t="shared" si="13"/>
        <v>80</v>
      </c>
      <c r="P73" s="333"/>
      <c r="Q73" s="322">
        <f t="shared" si="12"/>
        <v>196.75562500000001</v>
      </c>
      <c r="R73" s="327">
        <v>19.510000000000002</v>
      </c>
      <c r="S73" s="327">
        <v>36.159999999999997</v>
      </c>
      <c r="T73" s="327">
        <v>32.28</v>
      </c>
      <c r="U73" s="327">
        <v>54.64</v>
      </c>
      <c r="V73" s="326"/>
      <c r="W73" s="326"/>
      <c r="X73" s="326"/>
      <c r="Y73" s="326"/>
      <c r="Z73" s="326"/>
      <c r="AA73" s="326"/>
      <c r="AB73" s="326"/>
      <c r="AC73" s="326"/>
      <c r="AD73" s="327">
        <v>247.1</v>
      </c>
      <c r="AE73" s="327">
        <v>458.13</v>
      </c>
      <c r="AF73" s="327">
        <v>408.47</v>
      </c>
      <c r="AG73" s="327">
        <v>688.93</v>
      </c>
      <c r="AH73" s="326"/>
      <c r="AI73" s="326"/>
      <c r="AJ73" s="326"/>
      <c r="AK73" s="326"/>
      <c r="AL73" s="326"/>
      <c r="AM73" s="326"/>
      <c r="AN73" s="326"/>
      <c r="AO73" s="326"/>
      <c r="AP73" s="327">
        <v>38.869999999999997</v>
      </c>
      <c r="AQ73" s="327">
        <v>72.069999999999993</v>
      </c>
      <c r="AR73" s="327">
        <v>64.25</v>
      </c>
      <c r="AS73" s="327">
        <v>108.37</v>
      </c>
      <c r="AT73" s="326"/>
      <c r="AU73" s="326"/>
      <c r="AV73" s="326"/>
      <c r="AW73" s="326"/>
      <c r="AX73" s="326"/>
      <c r="AY73" s="326"/>
      <c r="AZ73" s="326"/>
      <c r="BA73" s="326"/>
      <c r="BB73" s="327">
        <v>336.94</v>
      </c>
      <c r="BC73" s="327">
        <v>624.66999999999996</v>
      </c>
      <c r="BD73" s="327">
        <v>556.95000000000005</v>
      </c>
      <c r="BE73" s="327">
        <v>939.37</v>
      </c>
      <c r="BF73" s="326"/>
      <c r="BG73" s="326"/>
      <c r="BH73" s="326"/>
      <c r="BI73" s="326"/>
      <c r="BJ73" s="326"/>
      <c r="BK73" s="326"/>
      <c r="BL73" s="326"/>
      <c r="BM73" s="326"/>
      <c r="BN73" s="329">
        <v>699.71</v>
      </c>
      <c r="BO73" s="329">
        <v>1305.6099999999999</v>
      </c>
      <c r="BP73" s="329">
        <v>1176.53</v>
      </c>
      <c r="BQ73" s="329">
        <v>1905.89</v>
      </c>
      <c r="BR73" s="325"/>
      <c r="BS73" s="325"/>
      <c r="BT73" s="325"/>
      <c r="BU73" s="325"/>
      <c r="BV73" s="325"/>
      <c r="BW73" s="325"/>
      <c r="BX73" s="325"/>
      <c r="BY73" s="325"/>
      <c r="BZ73" s="329">
        <v>-303.33</v>
      </c>
      <c r="CA73" s="322">
        <v>-637</v>
      </c>
      <c r="CB73" s="322">
        <v>-528.66999999999996</v>
      </c>
      <c r="CC73" s="322">
        <v>-767</v>
      </c>
      <c r="CD73" s="325"/>
      <c r="CE73" s="325"/>
      <c r="CF73" s="325"/>
      <c r="CG73" s="325"/>
      <c r="CH73" s="325"/>
      <c r="CI73" s="325"/>
      <c r="CJ73" s="325"/>
      <c r="CK73" s="325"/>
      <c r="CL73" s="323">
        <v>15740.45</v>
      </c>
      <c r="CM73" s="325"/>
      <c r="CN73" s="322">
        <v>0</v>
      </c>
      <c r="CO73" s="323">
        <v>3089.6199999999972</v>
      </c>
      <c r="CP73" s="323">
        <v>50.330000000000041</v>
      </c>
      <c r="CQ73" s="323">
        <v>2577.1999999999998</v>
      </c>
      <c r="CR73" s="351"/>
      <c r="CS73" s="351"/>
      <c r="CT73" s="351"/>
      <c r="CU73" s="351"/>
      <c r="CV73" s="352"/>
      <c r="CW73" s="352"/>
      <c r="CX73" s="352"/>
      <c r="CY73" s="352"/>
    </row>
    <row r="74" spans="1:103" s="320" customFormat="1" ht="12" customHeight="1" x14ac:dyDescent="0.2">
      <c r="B74" s="321">
        <f t="shared" si="14"/>
        <v>44479</v>
      </c>
      <c r="C74" s="320">
        <v>63</v>
      </c>
      <c r="D74" s="320">
        <v>10</v>
      </c>
      <c r="E74" s="320">
        <v>3</v>
      </c>
      <c r="F74" s="320">
        <v>5</v>
      </c>
      <c r="G74" s="325"/>
      <c r="H74" s="325"/>
      <c r="I74" s="325"/>
      <c r="J74" s="325"/>
      <c r="K74" s="325"/>
      <c r="L74" s="325"/>
      <c r="M74" s="325"/>
      <c r="N74" s="325"/>
      <c r="O74" s="320">
        <f t="shared" si="13"/>
        <v>81</v>
      </c>
      <c r="P74" s="333"/>
      <c r="Q74" s="322">
        <f t="shared" si="12"/>
        <v>51.203499999999806</v>
      </c>
      <c r="R74" s="327">
        <v>19.510000000000002</v>
      </c>
      <c r="S74" s="327">
        <v>36.159999999999997</v>
      </c>
      <c r="T74" s="327">
        <v>32.28</v>
      </c>
      <c r="U74" s="327">
        <v>54.64</v>
      </c>
      <c r="V74" s="326"/>
      <c r="W74" s="326"/>
      <c r="X74" s="326"/>
      <c r="Y74" s="326"/>
      <c r="Z74" s="326"/>
      <c r="AA74" s="326"/>
      <c r="AB74" s="326"/>
      <c r="AC74" s="326"/>
      <c r="AD74" s="327">
        <v>247.1</v>
      </c>
      <c r="AE74" s="327">
        <v>458.13</v>
      </c>
      <c r="AF74" s="327">
        <v>408.47</v>
      </c>
      <c r="AG74" s="327">
        <v>688.93</v>
      </c>
      <c r="AH74" s="326"/>
      <c r="AI74" s="326"/>
      <c r="AJ74" s="326"/>
      <c r="AK74" s="326"/>
      <c r="AL74" s="326"/>
      <c r="AM74" s="326"/>
      <c r="AN74" s="326"/>
      <c r="AO74" s="326"/>
      <c r="AP74" s="327">
        <v>38.869999999999997</v>
      </c>
      <c r="AQ74" s="327">
        <v>72.069999999999993</v>
      </c>
      <c r="AR74" s="327">
        <v>64.25</v>
      </c>
      <c r="AS74" s="327">
        <v>108.37</v>
      </c>
      <c r="AT74" s="326"/>
      <c r="AU74" s="326"/>
      <c r="AV74" s="326"/>
      <c r="AW74" s="326"/>
      <c r="AX74" s="326"/>
      <c r="AY74" s="326"/>
      <c r="AZ74" s="326"/>
      <c r="BA74" s="326"/>
      <c r="BB74" s="327">
        <v>336.94</v>
      </c>
      <c r="BC74" s="327">
        <v>624.66999999999996</v>
      </c>
      <c r="BD74" s="327">
        <v>556.95000000000005</v>
      </c>
      <c r="BE74" s="327">
        <v>939.37</v>
      </c>
      <c r="BF74" s="326"/>
      <c r="BG74" s="326"/>
      <c r="BH74" s="326"/>
      <c r="BI74" s="326"/>
      <c r="BJ74" s="326"/>
      <c r="BK74" s="326"/>
      <c r="BL74" s="326"/>
      <c r="BM74" s="326"/>
      <c r="BN74" s="329">
        <v>699.71</v>
      </c>
      <c r="BO74" s="329">
        <v>1305.6099999999999</v>
      </c>
      <c r="BP74" s="329">
        <v>1176.53</v>
      </c>
      <c r="BQ74" s="329">
        <v>1905.89</v>
      </c>
      <c r="BR74" s="325"/>
      <c r="BS74" s="325"/>
      <c r="BT74" s="325"/>
      <c r="BU74" s="325"/>
      <c r="BV74" s="325"/>
      <c r="BW74" s="325"/>
      <c r="BX74" s="325"/>
      <c r="BY74" s="325"/>
      <c r="BZ74" s="329">
        <v>-303.33</v>
      </c>
      <c r="CA74" s="322">
        <v>-637</v>
      </c>
      <c r="CB74" s="322">
        <v>-528.66999999999996</v>
      </c>
      <c r="CC74" s="322">
        <v>-767</v>
      </c>
      <c r="CD74" s="325"/>
      <c r="CE74" s="325"/>
      <c r="CF74" s="325"/>
      <c r="CG74" s="325"/>
      <c r="CH74" s="325"/>
      <c r="CI74" s="325"/>
      <c r="CJ74" s="325"/>
      <c r="CK74" s="325"/>
      <c r="CL74" s="323">
        <v>29096.28</v>
      </c>
      <c r="CM74" s="325"/>
      <c r="CN74" s="322">
        <v>-25000.000000000015</v>
      </c>
      <c r="CO74" s="323">
        <v>1549.7400000000052</v>
      </c>
      <c r="CP74" s="323">
        <v>5909.63</v>
      </c>
      <c r="CQ74" s="323">
        <v>200</v>
      </c>
      <c r="CR74" s="351"/>
      <c r="CS74" s="351"/>
      <c r="CT74" s="351"/>
      <c r="CU74" s="351"/>
      <c r="CV74" s="352"/>
      <c r="CW74" s="352"/>
      <c r="CX74" s="352"/>
      <c r="CY74" s="352"/>
    </row>
    <row r="75" spans="1:103" s="320" customFormat="1" ht="12" customHeight="1" x14ac:dyDescent="0.2">
      <c r="B75" s="321">
        <f t="shared" si="14"/>
        <v>44510</v>
      </c>
      <c r="C75" s="320">
        <v>62</v>
      </c>
      <c r="D75" s="320">
        <v>9</v>
      </c>
      <c r="E75" s="320">
        <v>3</v>
      </c>
      <c r="F75" s="320">
        <v>6</v>
      </c>
      <c r="G75" s="325"/>
      <c r="H75" s="325"/>
      <c r="I75" s="325"/>
      <c r="J75" s="325"/>
      <c r="K75" s="325"/>
      <c r="L75" s="325"/>
      <c r="M75" s="325"/>
      <c r="N75" s="325"/>
      <c r="O75" s="320">
        <f t="shared" si="13"/>
        <v>80</v>
      </c>
      <c r="P75" s="333"/>
      <c r="Q75" s="322">
        <f t="shared" si="12"/>
        <v>629.24537499999997</v>
      </c>
      <c r="R75" s="327">
        <v>19.510000000000002</v>
      </c>
      <c r="S75" s="327">
        <v>36.159999999999997</v>
      </c>
      <c r="T75" s="327">
        <v>32.28</v>
      </c>
      <c r="U75" s="327">
        <v>54.64</v>
      </c>
      <c r="V75" s="326"/>
      <c r="W75" s="326"/>
      <c r="X75" s="326"/>
      <c r="Y75" s="326"/>
      <c r="Z75" s="326"/>
      <c r="AA75" s="326"/>
      <c r="AB75" s="326"/>
      <c r="AC75" s="326"/>
      <c r="AD75" s="327">
        <v>247.1</v>
      </c>
      <c r="AE75" s="327">
        <v>458.13</v>
      </c>
      <c r="AF75" s="327">
        <v>408.47</v>
      </c>
      <c r="AG75" s="327">
        <v>688.93</v>
      </c>
      <c r="AH75" s="326"/>
      <c r="AI75" s="326"/>
      <c r="AJ75" s="326"/>
      <c r="AK75" s="326"/>
      <c r="AL75" s="326"/>
      <c r="AM75" s="326"/>
      <c r="AN75" s="326"/>
      <c r="AO75" s="326"/>
      <c r="AP75" s="327">
        <v>38.869999999999997</v>
      </c>
      <c r="AQ75" s="327">
        <v>72.069999999999993</v>
      </c>
      <c r="AR75" s="327">
        <v>64.25</v>
      </c>
      <c r="AS75" s="327">
        <v>108.37</v>
      </c>
      <c r="AT75" s="326"/>
      <c r="AU75" s="326"/>
      <c r="AV75" s="326"/>
      <c r="AW75" s="326"/>
      <c r="AX75" s="326"/>
      <c r="AY75" s="326"/>
      <c r="AZ75" s="326"/>
      <c r="BA75" s="326"/>
      <c r="BB75" s="327">
        <v>336.94</v>
      </c>
      <c r="BC75" s="327">
        <v>624.66999999999996</v>
      </c>
      <c r="BD75" s="327">
        <v>556.95000000000005</v>
      </c>
      <c r="BE75" s="327">
        <v>939.37</v>
      </c>
      <c r="BF75" s="326"/>
      <c r="BG75" s="326"/>
      <c r="BH75" s="326"/>
      <c r="BI75" s="326"/>
      <c r="BJ75" s="326"/>
      <c r="BK75" s="326"/>
      <c r="BL75" s="326"/>
      <c r="BM75" s="326"/>
      <c r="BN75" s="329">
        <v>699.71</v>
      </c>
      <c r="BO75" s="329">
        <v>1305.6099999999999</v>
      </c>
      <c r="BP75" s="329">
        <v>1176.53</v>
      </c>
      <c r="BQ75" s="329">
        <v>1905.89</v>
      </c>
      <c r="BR75" s="325"/>
      <c r="BS75" s="325"/>
      <c r="BT75" s="325"/>
      <c r="BU75" s="325"/>
      <c r="BV75" s="325"/>
      <c r="BW75" s="325"/>
      <c r="BX75" s="325"/>
      <c r="BY75" s="325"/>
      <c r="BZ75" s="329">
        <v>-303.33</v>
      </c>
      <c r="CA75" s="322">
        <v>-637</v>
      </c>
      <c r="CB75" s="322">
        <v>-528.66999999999996</v>
      </c>
      <c r="CC75" s="322">
        <v>-767</v>
      </c>
      <c r="CD75" s="325"/>
      <c r="CE75" s="325"/>
      <c r="CF75" s="325"/>
      <c r="CG75" s="325"/>
      <c r="CH75" s="325"/>
      <c r="CI75" s="325"/>
      <c r="CJ75" s="325"/>
      <c r="CK75" s="325"/>
      <c r="CL75" s="323">
        <v>50339.63</v>
      </c>
      <c r="CM75" s="325"/>
      <c r="CN75" s="322">
        <v>0</v>
      </c>
      <c r="CO75" s="323">
        <v>1044.0399999999936</v>
      </c>
      <c r="CP75" s="323">
        <v>0</v>
      </c>
      <c r="CQ75" s="323">
        <v>961.5</v>
      </c>
      <c r="CR75" s="351"/>
      <c r="CS75" s="351"/>
      <c r="CT75" s="351"/>
      <c r="CU75" s="351"/>
      <c r="CV75" s="352"/>
      <c r="CW75" s="352"/>
      <c r="CX75" s="352"/>
      <c r="CY75" s="352"/>
    </row>
    <row r="76" spans="1:103" s="320" customFormat="1" ht="12" customHeight="1" x14ac:dyDescent="0.2">
      <c r="B76" s="321">
        <f t="shared" si="14"/>
        <v>44541</v>
      </c>
      <c r="C76" s="320">
        <v>59</v>
      </c>
      <c r="D76" s="320">
        <v>10</v>
      </c>
      <c r="E76" s="320">
        <v>3</v>
      </c>
      <c r="F76" s="320">
        <v>6</v>
      </c>
      <c r="G76" s="325"/>
      <c r="H76" s="325"/>
      <c r="I76" s="325"/>
      <c r="J76" s="325"/>
      <c r="K76" s="325"/>
      <c r="L76" s="325"/>
      <c r="M76" s="325"/>
      <c r="N76" s="325"/>
      <c r="O76" s="320">
        <f t="shared" si="13"/>
        <v>78</v>
      </c>
      <c r="P76" s="333"/>
      <c r="Q76" s="322">
        <f t="shared" si="12"/>
        <v>709.04135802469136</v>
      </c>
      <c r="R76" s="327">
        <v>19.510000000000002</v>
      </c>
      <c r="S76" s="327">
        <v>36.159999999999997</v>
      </c>
      <c r="T76" s="327">
        <v>32.28</v>
      </c>
      <c r="U76" s="327">
        <v>54.64</v>
      </c>
      <c r="V76" s="326"/>
      <c r="W76" s="326"/>
      <c r="X76" s="326"/>
      <c r="Y76" s="326"/>
      <c r="Z76" s="326"/>
      <c r="AA76" s="326"/>
      <c r="AB76" s="326"/>
      <c r="AC76" s="326"/>
      <c r="AD76" s="327">
        <v>247.1</v>
      </c>
      <c r="AE76" s="327">
        <v>458.13</v>
      </c>
      <c r="AF76" s="327">
        <v>408.47</v>
      </c>
      <c r="AG76" s="327">
        <v>688.93</v>
      </c>
      <c r="AH76" s="326"/>
      <c r="AI76" s="326"/>
      <c r="AJ76" s="326"/>
      <c r="AK76" s="326"/>
      <c r="AL76" s="326"/>
      <c r="AM76" s="326"/>
      <c r="AN76" s="326"/>
      <c r="AO76" s="326"/>
      <c r="AP76" s="327">
        <v>38.869999999999997</v>
      </c>
      <c r="AQ76" s="327">
        <v>72.069999999999993</v>
      </c>
      <c r="AR76" s="327">
        <v>64.25</v>
      </c>
      <c r="AS76" s="327">
        <v>108.37</v>
      </c>
      <c r="AT76" s="326"/>
      <c r="AU76" s="326"/>
      <c r="AV76" s="326"/>
      <c r="AW76" s="326"/>
      <c r="AX76" s="326"/>
      <c r="AY76" s="326"/>
      <c r="AZ76" s="326"/>
      <c r="BA76" s="326"/>
      <c r="BB76" s="327">
        <v>336.94</v>
      </c>
      <c r="BC76" s="327">
        <v>624.66999999999996</v>
      </c>
      <c r="BD76" s="327">
        <v>556.95000000000005</v>
      </c>
      <c r="BE76" s="327">
        <v>939.37</v>
      </c>
      <c r="BF76" s="326"/>
      <c r="BG76" s="326"/>
      <c r="BH76" s="326"/>
      <c r="BI76" s="326"/>
      <c r="BJ76" s="326"/>
      <c r="BK76" s="326"/>
      <c r="BL76" s="326"/>
      <c r="BM76" s="326"/>
      <c r="BN76" s="329">
        <v>699.71</v>
      </c>
      <c r="BO76" s="329">
        <v>1305.6099999999999</v>
      </c>
      <c r="BP76" s="329">
        <v>1176.53</v>
      </c>
      <c r="BQ76" s="329">
        <v>1905.89</v>
      </c>
      <c r="BR76" s="325"/>
      <c r="BS76" s="325"/>
      <c r="BT76" s="325"/>
      <c r="BU76" s="325"/>
      <c r="BV76" s="325"/>
      <c r="BW76" s="325"/>
      <c r="BX76" s="325"/>
      <c r="BY76" s="325"/>
      <c r="BZ76" s="329">
        <v>-303.33</v>
      </c>
      <c r="CA76" s="322">
        <v>-637</v>
      </c>
      <c r="CB76" s="322">
        <v>-528.66999999999996</v>
      </c>
      <c r="CC76" s="322">
        <v>-767</v>
      </c>
      <c r="CD76" s="325"/>
      <c r="CE76" s="325"/>
      <c r="CF76" s="325"/>
      <c r="CG76" s="325"/>
      <c r="CH76" s="325"/>
      <c r="CI76" s="325"/>
      <c r="CJ76" s="325"/>
      <c r="CK76" s="325"/>
      <c r="CL76" s="323">
        <v>57432.35</v>
      </c>
      <c r="CM76" s="325"/>
      <c r="CN76" s="322">
        <v>0</v>
      </c>
      <c r="CO76" s="323">
        <v>3736.0800000000036</v>
      </c>
      <c r="CP76" s="323">
        <v>0</v>
      </c>
      <c r="CQ76" s="323">
        <v>1526.28</v>
      </c>
      <c r="CR76" s="351"/>
      <c r="CS76" s="351"/>
      <c r="CT76" s="351"/>
      <c r="CU76" s="351"/>
      <c r="CV76" s="352"/>
      <c r="CW76" s="352"/>
      <c r="CX76" s="352"/>
      <c r="CY76" s="352"/>
    </row>
    <row r="77" spans="1:103" s="337" customFormat="1" ht="12" customHeight="1" x14ac:dyDescent="0.2">
      <c r="A77" s="337" t="s">
        <v>171</v>
      </c>
      <c r="B77" s="338">
        <f t="shared" si="14"/>
        <v>44572</v>
      </c>
      <c r="C77" s="337">
        <v>53</v>
      </c>
      <c r="D77" s="337">
        <v>10</v>
      </c>
      <c r="E77" s="337">
        <v>3</v>
      </c>
      <c r="F77" s="337">
        <v>7</v>
      </c>
      <c r="G77" s="339"/>
      <c r="H77" s="339"/>
      <c r="I77" s="339"/>
      <c r="J77" s="339"/>
      <c r="K77" s="339"/>
      <c r="L77" s="339"/>
      <c r="M77" s="339"/>
      <c r="N77" s="339"/>
      <c r="O77" s="337">
        <f t="shared" si="13"/>
        <v>73</v>
      </c>
      <c r="P77" s="337">
        <v>107</v>
      </c>
      <c r="Q77" s="341">
        <f t="shared" si="12"/>
        <v>1209.4691250000001</v>
      </c>
      <c r="R77" s="347">
        <v>20.309999999999999</v>
      </c>
      <c r="S77" s="347">
        <v>37.630000000000003</v>
      </c>
      <c r="T77" s="347">
        <v>33.619999999999997</v>
      </c>
      <c r="U77" s="347">
        <v>56.63</v>
      </c>
      <c r="V77" s="348"/>
      <c r="W77" s="348"/>
      <c r="X77" s="348"/>
      <c r="Y77" s="348"/>
      <c r="Z77" s="348"/>
      <c r="AA77" s="348"/>
      <c r="AB77" s="348"/>
      <c r="AC77" s="348"/>
      <c r="AD77" s="347">
        <v>264.41000000000003</v>
      </c>
      <c r="AE77" s="347">
        <v>490.21</v>
      </c>
      <c r="AF77" s="347">
        <v>437.08</v>
      </c>
      <c r="AG77" s="347">
        <v>737.27</v>
      </c>
      <c r="AH77" s="348"/>
      <c r="AI77" s="348"/>
      <c r="AJ77" s="348"/>
      <c r="AK77" s="348"/>
      <c r="AL77" s="348"/>
      <c r="AM77" s="348"/>
      <c r="AN77" s="348"/>
      <c r="AO77" s="348"/>
      <c r="AP77" s="347">
        <v>41.98</v>
      </c>
      <c r="AQ77" s="347">
        <v>77.83</v>
      </c>
      <c r="AR77" s="347">
        <v>69.400000000000006</v>
      </c>
      <c r="AS77" s="347">
        <v>117.06</v>
      </c>
      <c r="AT77" s="348"/>
      <c r="AU77" s="348"/>
      <c r="AV77" s="348"/>
      <c r="AW77" s="348"/>
      <c r="AX77" s="348"/>
      <c r="AY77" s="348"/>
      <c r="AZ77" s="348"/>
      <c r="BA77" s="348"/>
      <c r="BB77" s="347">
        <v>404.3</v>
      </c>
      <c r="BC77" s="347">
        <v>749.56</v>
      </c>
      <c r="BD77" s="347">
        <v>668.33</v>
      </c>
      <c r="BE77" s="347">
        <v>1127.3499999999999</v>
      </c>
      <c r="BF77" s="348"/>
      <c r="BG77" s="348"/>
      <c r="BH77" s="348"/>
      <c r="BI77" s="348"/>
      <c r="BJ77" s="348"/>
      <c r="BK77" s="348"/>
      <c r="BL77" s="348"/>
      <c r="BM77" s="348"/>
      <c r="BN77" s="342">
        <v>788.29</v>
      </c>
      <c r="BO77" s="342">
        <v>1469.83</v>
      </c>
      <c r="BP77" s="342">
        <v>1322.95</v>
      </c>
      <c r="BQ77" s="342">
        <v>2152.85</v>
      </c>
      <c r="BR77" s="339"/>
      <c r="BS77" s="339"/>
      <c r="BT77" s="339"/>
      <c r="BU77" s="339"/>
      <c r="BV77" s="339"/>
      <c r="BW77" s="339"/>
      <c r="BX77" s="339"/>
      <c r="BY77" s="339"/>
      <c r="BZ77" s="342">
        <v>-303.33</v>
      </c>
      <c r="CA77" s="341">
        <v>-637</v>
      </c>
      <c r="CB77" s="341">
        <v>-528.66999999999996</v>
      </c>
      <c r="CC77" s="341">
        <v>-767</v>
      </c>
      <c r="CD77" s="339"/>
      <c r="CE77" s="339"/>
      <c r="CF77" s="339"/>
      <c r="CG77" s="339"/>
      <c r="CH77" s="339"/>
      <c r="CI77" s="339"/>
      <c r="CJ77" s="339"/>
      <c r="CK77" s="339"/>
      <c r="CL77" s="343">
        <v>103641.95</v>
      </c>
      <c r="CM77" s="339"/>
      <c r="CN77" s="341">
        <v>-6884.42</v>
      </c>
      <c r="CO77" s="343">
        <v>410.1</v>
      </c>
      <c r="CP77" s="343">
        <v>0</v>
      </c>
      <c r="CQ77" s="343">
        <v>380.61</v>
      </c>
      <c r="CR77" s="337">
        <v>89</v>
      </c>
      <c r="CS77" s="337">
        <v>22</v>
      </c>
      <c r="CT77" s="337">
        <v>0</v>
      </c>
      <c r="CU77" s="337">
        <v>10</v>
      </c>
      <c r="CV77" s="344">
        <v>8.3699999999999992</v>
      </c>
      <c r="CW77" s="344">
        <v>12.14</v>
      </c>
      <c r="CX77" s="344">
        <v>21.76</v>
      </c>
      <c r="CY77" s="344">
        <v>21.76</v>
      </c>
    </row>
    <row r="78" spans="1:103" s="320" customFormat="1" ht="12" customHeight="1" x14ac:dyDescent="0.2">
      <c r="A78" s="320" t="s">
        <v>176</v>
      </c>
      <c r="B78" s="321">
        <f t="shared" si="14"/>
        <v>44603</v>
      </c>
      <c r="C78" s="320">
        <v>58</v>
      </c>
      <c r="D78" s="320">
        <v>10</v>
      </c>
      <c r="E78" s="320">
        <v>3</v>
      </c>
      <c r="F78" s="320">
        <v>7</v>
      </c>
      <c r="G78" s="325"/>
      <c r="H78" s="325"/>
      <c r="I78" s="325"/>
      <c r="J78" s="325"/>
      <c r="K78" s="325"/>
      <c r="L78" s="325"/>
      <c r="M78" s="325"/>
      <c r="N78" s="325"/>
      <c r="O78" s="320">
        <f t="shared" si="13"/>
        <v>78</v>
      </c>
      <c r="P78" s="320">
        <v>112</v>
      </c>
      <c r="Q78" s="322">
        <f t="shared" si="12"/>
        <v>72.010769230769284</v>
      </c>
      <c r="R78" s="323">
        <v>20.309999999999999</v>
      </c>
      <c r="S78" s="323">
        <v>37.630000000000003</v>
      </c>
      <c r="T78" s="323">
        <v>33.619999999999997</v>
      </c>
      <c r="U78" s="323">
        <v>56.63</v>
      </c>
      <c r="V78" s="325"/>
      <c r="W78" s="325"/>
      <c r="X78" s="325"/>
      <c r="Y78" s="325"/>
      <c r="Z78" s="325"/>
      <c r="AA78" s="325"/>
      <c r="AB78" s="325"/>
      <c r="AC78" s="325"/>
      <c r="AD78" s="323">
        <v>264.41000000000003</v>
      </c>
      <c r="AE78" s="323">
        <v>490.21</v>
      </c>
      <c r="AF78" s="323">
        <v>437.08</v>
      </c>
      <c r="AG78" s="323">
        <v>737.27</v>
      </c>
      <c r="AH78" s="325"/>
      <c r="AI78" s="325"/>
      <c r="AJ78" s="325"/>
      <c r="AK78" s="325"/>
      <c r="AL78" s="325"/>
      <c r="AM78" s="325"/>
      <c r="AN78" s="325"/>
      <c r="AO78" s="325"/>
      <c r="AP78" s="323">
        <v>41.98</v>
      </c>
      <c r="AQ78" s="323">
        <v>77.83</v>
      </c>
      <c r="AR78" s="323">
        <v>69.400000000000006</v>
      </c>
      <c r="AS78" s="323">
        <v>117.06</v>
      </c>
      <c r="AT78" s="325"/>
      <c r="AU78" s="325"/>
      <c r="AV78" s="325"/>
      <c r="AW78" s="325"/>
      <c r="AX78" s="325"/>
      <c r="AY78" s="325"/>
      <c r="AZ78" s="325"/>
      <c r="BA78" s="325"/>
      <c r="BB78" s="323">
        <v>404.3</v>
      </c>
      <c r="BC78" s="323">
        <v>749.56</v>
      </c>
      <c r="BD78" s="323">
        <v>668.33</v>
      </c>
      <c r="BE78" s="323">
        <v>1127.3499999999999</v>
      </c>
      <c r="BF78" s="325"/>
      <c r="BG78" s="325"/>
      <c r="BH78" s="325"/>
      <c r="BI78" s="325"/>
      <c r="BJ78" s="325"/>
      <c r="BK78" s="325"/>
      <c r="BL78" s="325"/>
      <c r="BM78" s="325"/>
      <c r="BN78" s="329">
        <v>788.29</v>
      </c>
      <c r="BO78" s="329">
        <v>1469.83</v>
      </c>
      <c r="BP78" s="329">
        <v>1322.95</v>
      </c>
      <c r="BQ78" s="329">
        <v>2152.85</v>
      </c>
      <c r="BR78" s="325"/>
      <c r="BS78" s="325"/>
      <c r="BT78" s="325"/>
      <c r="BU78" s="325"/>
      <c r="BV78" s="325"/>
      <c r="BW78" s="325"/>
      <c r="BX78" s="325"/>
      <c r="BY78" s="325"/>
      <c r="BZ78" s="329">
        <v>-303.33</v>
      </c>
      <c r="CA78" s="322">
        <v>-637</v>
      </c>
      <c r="CB78" s="322">
        <v>-528.66999999999996</v>
      </c>
      <c r="CC78" s="322">
        <v>-767</v>
      </c>
      <c r="CD78" s="325"/>
      <c r="CE78" s="325"/>
      <c r="CF78" s="325"/>
      <c r="CG78" s="325"/>
      <c r="CH78" s="325"/>
      <c r="CI78" s="325"/>
      <c r="CJ78" s="325"/>
      <c r="CK78" s="325"/>
      <c r="CL78" s="323">
        <v>30055.47</v>
      </c>
      <c r="CM78" s="325"/>
      <c r="CN78" s="322">
        <f>-31323.05-CN77</f>
        <v>-24438.629999999997</v>
      </c>
      <c r="CO78" s="323">
        <v>2570.81</v>
      </c>
      <c r="CP78" s="323">
        <v>0</v>
      </c>
      <c r="CQ78" s="323">
        <v>1196.5</v>
      </c>
      <c r="CR78" s="320">
        <v>92</v>
      </c>
      <c r="CS78" s="320">
        <v>22</v>
      </c>
      <c r="CT78" s="320">
        <v>0</v>
      </c>
      <c r="CU78" s="320">
        <v>9</v>
      </c>
      <c r="CV78" s="324">
        <v>8.3699999999999992</v>
      </c>
      <c r="CW78" s="324">
        <v>12.14</v>
      </c>
      <c r="CX78" s="324">
        <v>21.76</v>
      </c>
      <c r="CY78" s="324">
        <v>21.76</v>
      </c>
    </row>
    <row r="79" spans="1:103" s="320" customFormat="1" ht="12" customHeight="1" x14ac:dyDescent="0.2">
      <c r="B79" s="321">
        <f t="shared" si="14"/>
        <v>44634</v>
      </c>
      <c r="C79" s="320">
        <v>57</v>
      </c>
      <c r="D79" s="320">
        <v>8</v>
      </c>
      <c r="E79" s="320">
        <v>3</v>
      </c>
      <c r="F79" s="320">
        <v>7</v>
      </c>
      <c r="G79" s="325"/>
      <c r="H79" s="325"/>
      <c r="I79" s="325"/>
      <c r="J79" s="325"/>
      <c r="K79" s="325"/>
      <c r="L79" s="325"/>
      <c r="M79" s="325"/>
      <c r="N79" s="325"/>
      <c r="O79" s="320">
        <f t="shared" si="13"/>
        <v>75</v>
      </c>
      <c r="P79" s="320">
        <v>107</v>
      </c>
      <c r="Q79" s="322">
        <f t="shared" si="12"/>
        <v>577.33109589041101</v>
      </c>
      <c r="R79" s="323">
        <v>20.309999999999999</v>
      </c>
      <c r="S79" s="323">
        <v>37.630000000000003</v>
      </c>
      <c r="T79" s="323">
        <v>33.619999999999997</v>
      </c>
      <c r="U79" s="323">
        <v>56.63</v>
      </c>
      <c r="V79" s="325"/>
      <c r="W79" s="325"/>
      <c r="X79" s="325"/>
      <c r="Y79" s="325"/>
      <c r="Z79" s="325"/>
      <c r="AA79" s="325"/>
      <c r="AB79" s="325"/>
      <c r="AC79" s="325"/>
      <c r="AD79" s="323">
        <v>264.41000000000003</v>
      </c>
      <c r="AE79" s="323">
        <v>490.21</v>
      </c>
      <c r="AF79" s="323">
        <v>437.08</v>
      </c>
      <c r="AG79" s="323">
        <v>737.27</v>
      </c>
      <c r="AH79" s="325"/>
      <c r="AI79" s="325"/>
      <c r="AJ79" s="325"/>
      <c r="AK79" s="325"/>
      <c r="AL79" s="325"/>
      <c r="AM79" s="325"/>
      <c r="AN79" s="325"/>
      <c r="AO79" s="325"/>
      <c r="AP79" s="323">
        <v>41.98</v>
      </c>
      <c r="AQ79" s="323">
        <v>77.83</v>
      </c>
      <c r="AR79" s="323">
        <v>69.400000000000006</v>
      </c>
      <c r="AS79" s="323">
        <v>117.06</v>
      </c>
      <c r="AT79" s="325"/>
      <c r="AU79" s="325"/>
      <c r="AV79" s="325"/>
      <c r="AW79" s="325"/>
      <c r="AX79" s="325"/>
      <c r="AY79" s="325"/>
      <c r="AZ79" s="325"/>
      <c r="BA79" s="325"/>
      <c r="BB79" s="323">
        <v>404.3</v>
      </c>
      <c r="BC79" s="323">
        <v>749.56</v>
      </c>
      <c r="BD79" s="323">
        <v>668.33</v>
      </c>
      <c r="BE79" s="323">
        <v>1127.3499999999999</v>
      </c>
      <c r="BF79" s="325"/>
      <c r="BG79" s="325"/>
      <c r="BH79" s="325"/>
      <c r="BI79" s="325"/>
      <c r="BJ79" s="325"/>
      <c r="BK79" s="325"/>
      <c r="BL79" s="325"/>
      <c r="BM79" s="325"/>
      <c r="BN79" s="329">
        <v>788.29</v>
      </c>
      <c r="BO79" s="329">
        <v>1469.83</v>
      </c>
      <c r="BP79" s="329">
        <v>1322.95</v>
      </c>
      <c r="BQ79" s="329">
        <v>2152.85</v>
      </c>
      <c r="BR79" s="325"/>
      <c r="BS79" s="325"/>
      <c r="BT79" s="325"/>
      <c r="BU79" s="325"/>
      <c r="BV79" s="325"/>
      <c r="BW79" s="325"/>
      <c r="BX79" s="325"/>
      <c r="BY79" s="325"/>
      <c r="BZ79" s="329">
        <v>-303.33</v>
      </c>
      <c r="CA79" s="322">
        <v>-637</v>
      </c>
      <c r="CB79" s="322">
        <v>-528.66999999999996</v>
      </c>
      <c r="CC79" s="322">
        <v>-767</v>
      </c>
      <c r="CD79" s="325"/>
      <c r="CE79" s="325"/>
      <c r="CF79" s="325"/>
      <c r="CG79" s="325"/>
      <c r="CH79" s="325"/>
      <c r="CI79" s="325"/>
      <c r="CJ79" s="325"/>
      <c r="CK79" s="325"/>
      <c r="CL79" s="323">
        <v>90797.21</v>
      </c>
      <c r="CM79" s="325"/>
      <c r="CN79" s="322">
        <f>-79975.09-CN78-CN77</f>
        <v>-48652.04</v>
      </c>
      <c r="CO79" s="323">
        <f>7484.47-CO78-CO77</f>
        <v>4503.5599999999995</v>
      </c>
      <c r="CP79" s="323">
        <v>0</v>
      </c>
      <c r="CQ79" s="323">
        <v>1268</v>
      </c>
      <c r="CR79" s="320">
        <v>95</v>
      </c>
      <c r="CS79" s="320">
        <v>22</v>
      </c>
      <c r="CT79" s="320">
        <v>0</v>
      </c>
      <c r="CU79" s="320">
        <v>10</v>
      </c>
      <c r="CV79" s="324">
        <v>8.3699999999999992</v>
      </c>
      <c r="CW79" s="324">
        <v>12.14</v>
      </c>
      <c r="CX79" s="324">
        <v>21.76</v>
      </c>
      <c r="CY79" s="324">
        <v>21.76</v>
      </c>
    </row>
    <row r="80" spans="1:103" s="320" customFormat="1" ht="12" customHeight="1" x14ac:dyDescent="0.2">
      <c r="A80" s="320" t="s">
        <v>173</v>
      </c>
      <c r="B80" s="321">
        <f t="shared" si="14"/>
        <v>44665</v>
      </c>
      <c r="C80" s="320">
        <v>54</v>
      </c>
      <c r="D80" s="320">
        <v>7</v>
      </c>
      <c r="E80" s="320">
        <v>5</v>
      </c>
      <c r="F80" s="320">
        <v>7</v>
      </c>
      <c r="G80" s="325"/>
      <c r="H80" s="325"/>
      <c r="I80" s="325"/>
      <c r="J80" s="325"/>
      <c r="K80" s="325"/>
      <c r="L80" s="325"/>
      <c r="M80" s="325"/>
      <c r="N80" s="325"/>
      <c r="O80" s="320">
        <f t="shared" si="13"/>
        <v>73</v>
      </c>
      <c r="P80" s="320">
        <v>106</v>
      </c>
      <c r="Q80" s="322">
        <f t="shared" si="12"/>
        <v>175.76243589743589</v>
      </c>
      <c r="R80" s="323">
        <v>20.309999999999999</v>
      </c>
      <c r="S80" s="323">
        <v>37.630000000000003</v>
      </c>
      <c r="T80" s="323">
        <v>33.619999999999997</v>
      </c>
      <c r="U80" s="323">
        <v>56.63</v>
      </c>
      <c r="V80" s="325"/>
      <c r="W80" s="325"/>
      <c r="X80" s="325"/>
      <c r="Y80" s="325"/>
      <c r="Z80" s="325"/>
      <c r="AA80" s="325"/>
      <c r="AB80" s="325"/>
      <c r="AC80" s="325"/>
      <c r="AD80" s="323">
        <v>264.41000000000003</v>
      </c>
      <c r="AE80" s="323">
        <v>490.21</v>
      </c>
      <c r="AF80" s="323">
        <v>437.08</v>
      </c>
      <c r="AG80" s="323">
        <v>737.27</v>
      </c>
      <c r="AH80" s="325"/>
      <c r="AI80" s="325"/>
      <c r="AJ80" s="325"/>
      <c r="AK80" s="325"/>
      <c r="AL80" s="325"/>
      <c r="AM80" s="325"/>
      <c r="AN80" s="325"/>
      <c r="AO80" s="325"/>
      <c r="AP80" s="323">
        <v>41.98</v>
      </c>
      <c r="AQ80" s="323">
        <v>77.83</v>
      </c>
      <c r="AR80" s="323">
        <v>69.400000000000006</v>
      </c>
      <c r="AS80" s="323">
        <v>117.06</v>
      </c>
      <c r="AT80" s="325"/>
      <c r="AU80" s="325"/>
      <c r="AV80" s="325"/>
      <c r="AW80" s="325"/>
      <c r="AX80" s="325"/>
      <c r="AY80" s="325"/>
      <c r="AZ80" s="325"/>
      <c r="BA80" s="325"/>
      <c r="BB80" s="323">
        <v>404.3</v>
      </c>
      <c r="BC80" s="323">
        <v>749.56</v>
      </c>
      <c r="BD80" s="323">
        <v>668.33</v>
      </c>
      <c r="BE80" s="323">
        <v>1127.3499999999999</v>
      </c>
      <c r="BF80" s="325"/>
      <c r="BG80" s="325"/>
      <c r="BH80" s="325"/>
      <c r="BI80" s="325"/>
      <c r="BJ80" s="325"/>
      <c r="BK80" s="325"/>
      <c r="BL80" s="325"/>
      <c r="BM80" s="325"/>
      <c r="BN80" s="329">
        <v>788.29</v>
      </c>
      <c r="BO80" s="329">
        <v>1469.83</v>
      </c>
      <c r="BP80" s="329">
        <v>1322.95</v>
      </c>
      <c r="BQ80" s="329">
        <v>2152.85</v>
      </c>
      <c r="BR80" s="325"/>
      <c r="BS80" s="325"/>
      <c r="BT80" s="325"/>
      <c r="BU80" s="325"/>
      <c r="BV80" s="325"/>
      <c r="BW80" s="325"/>
      <c r="BX80" s="325"/>
      <c r="BY80" s="325"/>
      <c r="BZ80" s="329">
        <v>-303.33</v>
      </c>
      <c r="CA80" s="322">
        <v>-637</v>
      </c>
      <c r="CB80" s="322">
        <v>-528.66999999999996</v>
      </c>
      <c r="CC80" s="322">
        <v>-767</v>
      </c>
      <c r="CD80" s="325"/>
      <c r="CE80" s="325"/>
      <c r="CF80" s="325"/>
      <c r="CG80" s="325"/>
      <c r="CH80" s="325"/>
      <c r="CI80" s="325"/>
      <c r="CJ80" s="325"/>
      <c r="CK80" s="325"/>
      <c r="CL80" s="323">
        <v>13709.47</v>
      </c>
      <c r="CM80" s="325"/>
      <c r="CN80" s="322">
        <v>0</v>
      </c>
      <c r="CO80" s="323">
        <f>9083.47-CO79-CO78-CO77</f>
        <v>1599</v>
      </c>
      <c r="CP80" s="323">
        <v>0</v>
      </c>
      <c r="CQ80" s="323">
        <v>594</v>
      </c>
      <c r="CR80" s="320">
        <v>97</v>
      </c>
      <c r="CS80" s="320">
        <v>21</v>
      </c>
      <c r="CT80" s="320">
        <v>0</v>
      </c>
      <c r="CU80" s="320">
        <v>10</v>
      </c>
      <c r="CV80" s="324">
        <v>8.3699999999999992</v>
      </c>
      <c r="CW80" s="324">
        <v>12.14</v>
      </c>
      <c r="CX80" s="324">
        <v>21.76</v>
      </c>
      <c r="CY80" s="324">
        <v>21.76</v>
      </c>
    </row>
    <row r="81" spans="1:103" s="320" customFormat="1" ht="12" customHeight="1" x14ac:dyDescent="0.2">
      <c r="A81" s="320" t="s">
        <v>177</v>
      </c>
      <c r="B81" s="321">
        <f t="shared" si="14"/>
        <v>44696</v>
      </c>
      <c r="C81" s="320">
        <v>59</v>
      </c>
      <c r="D81" s="320">
        <v>8</v>
      </c>
      <c r="E81" s="320">
        <v>4</v>
      </c>
      <c r="F81" s="320">
        <v>7</v>
      </c>
      <c r="G81" s="325"/>
      <c r="H81" s="325"/>
      <c r="I81" s="325"/>
      <c r="J81" s="325"/>
      <c r="K81" s="325"/>
      <c r="L81" s="325"/>
      <c r="M81" s="325"/>
      <c r="N81" s="325"/>
      <c r="O81" s="320">
        <f t="shared" si="13"/>
        <v>78</v>
      </c>
      <c r="P81" s="320">
        <v>107</v>
      </c>
      <c r="Q81" s="322">
        <f t="shared" si="12"/>
        <v>45.886400000000137</v>
      </c>
      <c r="R81" s="323">
        <v>20.309999999999999</v>
      </c>
      <c r="S81" s="323">
        <v>37.630000000000003</v>
      </c>
      <c r="T81" s="323">
        <v>33.619999999999997</v>
      </c>
      <c r="U81" s="323">
        <v>56.63</v>
      </c>
      <c r="V81" s="325"/>
      <c r="W81" s="325"/>
      <c r="X81" s="325"/>
      <c r="Y81" s="325"/>
      <c r="Z81" s="325"/>
      <c r="AA81" s="325"/>
      <c r="AB81" s="325"/>
      <c r="AC81" s="325"/>
      <c r="AD81" s="323">
        <v>264.41000000000003</v>
      </c>
      <c r="AE81" s="323">
        <v>490.21</v>
      </c>
      <c r="AF81" s="323">
        <v>437.08</v>
      </c>
      <c r="AG81" s="323">
        <v>737.27</v>
      </c>
      <c r="AH81" s="325"/>
      <c r="AI81" s="325"/>
      <c r="AJ81" s="325"/>
      <c r="AK81" s="325"/>
      <c r="AL81" s="325"/>
      <c r="AM81" s="325"/>
      <c r="AN81" s="325"/>
      <c r="AO81" s="325"/>
      <c r="AP81" s="323">
        <v>41.98</v>
      </c>
      <c r="AQ81" s="323">
        <v>77.83</v>
      </c>
      <c r="AR81" s="323">
        <v>69.400000000000006</v>
      </c>
      <c r="AS81" s="323">
        <v>117.06</v>
      </c>
      <c r="AT81" s="325"/>
      <c r="AU81" s="325"/>
      <c r="AV81" s="325"/>
      <c r="AW81" s="325"/>
      <c r="AX81" s="325"/>
      <c r="AY81" s="325"/>
      <c r="AZ81" s="325"/>
      <c r="BA81" s="325"/>
      <c r="BB81" s="323">
        <v>404.3</v>
      </c>
      <c r="BC81" s="323">
        <v>749.56</v>
      </c>
      <c r="BD81" s="323">
        <v>668.33</v>
      </c>
      <c r="BE81" s="323">
        <v>1127.3499999999999</v>
      </c>
      <c r="BF81" s="325"/>
      <c r="BG81" s="325"/>
      <c r="BH81" s="325"/>
      <c r="BI81" s="325"/>
      <c r="BJ81" s="325"/>
      <c r="BK81" s="325"/>
      <c r="BL81" s="325"/>
      <c r="BM81" s="325"/>
      <c r="BN81" s="329">
        <v>788.29</v>
      </c>
      <c r="BO81" s="329">
        <v>1469.83</v>
      </c>
      <c r="BP81" s="329">
        <v>1322.95</v>
      </c>
      <c r="BQ81" s="329">
        <v>2152.85</v>
      </c>
      <c r="BR81" s="325"/>
      <c r="BS81" s="325"/>
      <c r="BT81" s="325"/>
      <c r="BU81" s="325"/>
      <c r="BV81" s="325"/>
      <c r="BW81" s="325"/>
      <c r="BX81" s="325"/>
      <c r="BY81" s="325"/>
      <c r="BZ81" s="329">
        <v>-303.33</v>
      </c>
      <c r="CA81" s="322">
        <v>-637</v>
      </c>
      <c r="CB81" s="322">
        <v>-528.66999999999996</v>
      </c>
      <c r="CC81" s="322">
        <v>-767</v>
      </c>
      <c r="CD81" s="325"/>
      <c r="CE81" s="325"/>
      <c r="CF81" s="325"/>
      <c r="CG81" s="325"/>
      <c r="CH81" s="325"/>
      <c r="CI81" s="325"/>
      <c r="CJ81" s="325"/>
      <c r="CK81" s="325"/>
      <c r="CL81" s="323">
        <v>89655.61</v>
      </c>
      <c r="CM81" s="325"/>
      <c r="CN81" s="322">
        <f>-166189.22-CN80-CN79-CN78-CN77</f>
        <v>-86214.12999999999</v>
      </c>
      <c r="CO81" s="323">
        <f>10825.13-CO80-CO79-CO78-CO77</f>
        <v>1741.6599999999999</v>
      </c>
      <c r="CP81" s="323">
        <v>0</v>
      </c>
      <c r="CQ81" s="323">
        <v>1487.2</v>
      </c>
      <c r="CR81" s="320">
        <v>97</v>
      </c>
      <c r="CS81" s="320">
        <v>21</v>
      </c>
      <c r="CT81" s="320">
        <v>0</v>
      </c>
      <c r="CU81" s="320">
        <v>10</v>
      </c>
      <c r="CV81" s="324">
        <v>8.3699999999999992</v>
      </c>
      <c r="CW81" s="324">
        <v>12.14</v>
      </c>
      <c r="CX81" s="324">
        <v>21.76</v>
      </c>
      <c r="CY81" s="324">
        <v>21.76</v>
      </c>
    </row>
    <row r="82" spans="1:103" s="320" customFormat="1" ht="12" customHeight="1" x14ac:dyDescent="0.2">
      <c r="A82" s="320" t="s">
        <v>175</v>
      </c>
      <c r="B82" s="321">
        <f t="shared" si="14"/>
        <v>44727</v>
      </c>
      <c r="C82" s="320">
        <v>52</v>
      </c>
      <c r="D82" s="320">
        <v>7</v>
      </c>
      <c r="E82" s="320">
        <v>6</v>
      </c>
      <c r="F82" s="320">
        <v>7</v>
      </c>
      <c r="G82" s="325"/>
      <c r="H82" s="325"/>
      <c r="I82" s="325"/>
      <c r="J82" s="325"/>
      <c r="K82" s="325"/>
      <c r="L82" s="325"/>
      <c r="M82" s="325"/>
      <c r="N82" s="325"/>
      <c r="O82" s="320">
        <f t="shared" si="13"/>
        <v>72</v>
      </c>
      <c r="P82" s="320">
        <v>109</v>
      </c>
      <c r="Q82" s="322">
        <f t="shared" si="12"/>
        <v>-585.53630136986294</v>
      </c>
      <c r="R82" s="323">
        <v>20.309999999999999</v>
      </c>
      <c r="S82" s="323">
        <v>37.630000000000003</v>
      </c>
      <c r="T82" s="323">
        <v>33.619999999999997</v>
      </c>
      <c r="U82" s="323">
        <v>56.63</v>
      </c>
      <c r="V82" s="325"/>
      <c r="W82" s="325"/>
      <c r="X82" s="325"/>
      <c r="Y82" s="325"/>
      <c r="Z82" s="325"/>
      <c r="AA82" s="325"/>
      <c r="AB82" s="325"/>
      <c r="AC82" s="325"/>
      <c r="AD82" s="323">
        <v>264.41000000000003</v>
      </c>
      <c r="AE82" s="323">
        <v>490.21</v>
      </c>
      <c r="AF82" s="323">
        <v>437.08</v>
      </c>
      <c r="AG82" s="323">
        <v>737.27</v>
      </c>
      <c r="AH82" s="325"/>
      <c r="AI82" s="325"/>
      <c r="AJ82" s="325"/>
      <c r="AK82" s="325"/>
      <c r="AL82" s="325"/>
      <c r="AM82" s="325"/>
      <c r="AN82" s="325"/>
      <c r="AO82" s="325"/>
      <c r="AP82" s="323">
        <v>41.98</v>
      </c>
      <c r="AQ82" s="323">
        <v>77.83</v>
      </c>
      <c r="AR82" s="323">
        <v>69.400000000000006</v>
      </c>
      <c r="AS82" s="323">
        <v>117.06</v>
      </c>
      <c r="AT82" s="325"/>
      <c r="AU82" s="325"/>
      <c r="AV82" s="325"/>
      <c r="AW82" s="325"/>
      <c r="AX82" s="325"/>
      <c r="AY82" s="325"/>
      <c r="AZ82" s="325"/>
      <c r="BA82" s="325"/>
      <c r="BB82" s="323">
        <v>404.3</v>
      </c>
      <c r="BC82" s="323">
        <v>749.56</v>
      </c>
      <c r="BD82" s="323">
        <v>668.33</v>
      </c>
      <c r="BE82" s="323">
        <v>1127.3499999999999</v>
      </c>
      <c r="BF82" s="325"/>
      <c r="BG82" s="325"/>
      <c r="BH82" s="325"/>
      <c r="BI82" s="325"/>
      <c r="BJ82" s="325"/>
      <c r="BK82" s="325"/>
      <c r="BL82" s="325"/>
      <c r="BM82" s="325"/>
      <c r="BN82" s="329">
        <v>788.29</v>
      </c>
      <c r="BO82" s="329">
        <v>1469.83</v>
      </c>
      <c r="BP82" s="329">
        <v>1322.95</v>
      </c>
      <c r="BQ82" s="329">
        <v>2152.85</v>
      </c>
      <c r="BR82" s="325"/>
      <c r="BS82" s="325"/>
      <c r="BT82" s="325"/>
      <c r="BU82" s="325"/>
      <c r="BV82" s="325"/>
      <c r="BW82" s="325"/>
      <c r="BX82" s="325"/>
      <c r="BY82" s="325"/>
      <c r="BZ82" s="329">
        <v>-303.33</v>
      </c>
      <c r="CA82" s="322">
        <v>-637</v>
      </c>
      <c r="CB82" s="322">
        <v>-528.66999999999996</v>
      </c>
      <c r="CC82" s="322">
        <v>-767</v>
      </c>
      <c r="CD82" s="325"/>
      <c r="CE82" s="325"/>
      <c r="CF82" s="325"/>
      <c r="CG82" s="325"/>
      <c r="CH82" s="325"/>
      <c r="CI82" s="325"/>
      <c r="CJ82" s="325"/>
      <c r="CK82" s="325"/>
      <c r="CL82" s="323">
        <v>24334.39</v>
      </c>
      <c r="CM82" s="325"/>
      <c r="CN82" s="322">
        <f>-233267.76-CN81-CN80-CN79-CN78-CN77</f>
        <v>-67078.539999999994</v>
      </c>
      <c r="CO82" s="323">
        <f>13984.81-CO81-CO80-CO79-CO78-CO77</f>
        <v>3159.6800000000003</v>
      </c>
      <c r="CP82" s="323">
        <v>3900</v>
      </c>
      <c r="CQ82" s="323">
        <v>2800</v>
      </c>
      <c r="CR82" s="320">
        <v>91</v>
      </c>
      <c r="CS82" s="320">
        <v>21</v>
      </c>
      <c r="CT82" s="320">
        <v>1</v>
      </c>
      <c r="CU82" s="320">
        <v>10</v>
      </c>
      <c r="CV82" s="324">
        <v>8.3699999999999992</v>
      </c>
      <c r="CW82" s="324">
        <v>12.14</v>
      </c>
      <c r="CX82" s="324">
        <v>21.76</v>
      </c>
      <c r="CY82" s="324">
        <v>21.76</v>
      </c>
    </row>
    <row r="83" spans="1:103" s="320" customFormat="1" ht="12" customHeight="1" x14ac:dyDescent="0.2">
      <c r="B83" s="321">
        <f t="shared" si="14"/>
        <v>44758</v>
      </c>
      <c r="C83" s="332">
        <v>52</v>
      </c>
      <c r="D83" s="332">
        <v>7</v>
      </c>
      <c r="E83" s="332">
        <v>6</v>
      </c>
      <c r="F83" s="332">
        <v>7</v>
      </c>
      <c r="G83" s="325"/>
      <c r="H83" s="325"/>
      <c r="I83" s="325"/>
      <c r="J83" s="325"/>
      <c r="K83" s="325"/>
      <c r="L83" s="325"/>
      <c r="M83" s="325"/>
      <c r="N83" s="325"/>
      <c r="O83" s="320">
        <f t="shared" si="13"/>
        <v>72</v>
      </c>
      <c r="P83" s="332">
        <v>110</v>
      </c>
      <c r="Q83" s="322">
        <f t="shared" si="12"/>
        <v>410.44884615384615</v>
      </c>
      <c r="R83" s="323">
        <v>20.309999999999999</v>
      </c>
      <c r="S83" s="323">
        <v>37.630000000000003</v>
      </c>
      <c r="T83" s="323">
        <v>33.619999999999997</v>
      </c>
      <c r="U83" s="323">
        <v>56.63</v>
      </c>
      <c r="V83" s="325"/>
      <c r="W83" s="325"/>
      <c r="X83" s="325"/>
      <c r="Y83" s="325"/>
      <c r="Z83" s="325"/>
      <c r="AA83" s="325"/>
      <c r="AB83" s="325"/>
      <c r="AC83" s="325"/>
      <c r="AD83" s="323">
        <v>264.41000000000003</v>
      </c>
      <c r="AE83" s="323">
        <v>490.21</v>
      </c>
      <c r="AF83" s="323">
        <v>437.08</v>
      </c>
      <c r="AG83" s="323">
        <v>737.27</v>
      </c>
      <c r="AH83" s="325"/>
      <c r="AI83" s="325"/>
      <c r="AJ83" s="325"/>
      <c r="AK83" s="325"/>
      <c r="AL83" s="325"/>
      <c r="AM83" s="325"/>
      <c r="AN83" s="325"/>
      <c r="AO83" s="325"/>
      <c r="AP83" s="323">
        <v>41.98</v>
      </c>
      <c r="AQ83" s="323">
        <v>77.83</v>
      </c>
      <c r="AR83" s="323">
        <v>69.400000000000006</v>
      </c>
      <c r="AS83" s="323">
        <v>117.06</v>
      </c>
      <c r="AT83" s="325"/>
      <c r="AU83" s="325"/>
      <c r="AV83" s="325"/>
      <c r="AW83" s="325"/>
      <c r="AX83" s="325"/>
      <c r="AY83" s="325"/>
      <c r="AZ83" s="325"/>
      <c r="BA83" s="325"/>
      <c r="BB83" s="323">
        <v>404.3</v>
      </c>
      <c r="BC83" s="323">
        <v>749.56</v>
      </c>
      <c r="BD83" s="323">
        <v>668.33</v>
      </c>
      <c r="BE83" s="323">
        <v>1127.3499999999999</v>
      </c>
      <c r="BF83" s="325"/>
      <c r="BG83" s="325"/>
      <c r="BH83" s="325"/>
      <c r="BI83" s="325"/>
      <c r="BJ83" s="325"/>
      <c r="BK83" s="325"/>
      <c r="BL83" s="325"/>
      <c r="BM83" s="325"/>
      <c r="BN83" s="329">
        <v>788.29</v>
      </c>
      <c r="BO83" s="329">
        <v>1469.83</v>
      </c>
      <c r="BP83" s="329">
        <v>1322.95</v>
      </c>
      <c r="BQ83" s="329">
        <v>2152.85</v>
      </c>
      <c r="BR83" s="325"/>
      <c r="BS83" s="325"/>
      <c r="BT83" s="325"/>
      <c r="BU83" s="325"/>
      <c r="BV83" s="325"/>
      <c r="BW83" s="325"/>
      <c r="BX83" s="325"/>
      <c r="BY83" s="325"/>
      <c r="BZ83" s="329">
        <v>-303.33</v>
      </c>
      <c r="CA83" s="322">
        <v>-637</v>
      </c>
      <c r="CB83" s="322">
        <v>-528.66999999999996</v>
      </c>
      <c r="CC83" s="322">
        <v>-767</v>
      </c>
      <c r="CD83" s="325"/>
      <c r="CE83" s="325"/>
      <c r="CF83" s="325"/>
      <c r="CG83" s="325"/>
      <c r="CH83" s="325"/>
      <c r="CI83" s="325"/>
      <c r="CJ83" s="325"/>
      <c r="CK83" s="325"/>
      <c r="CL83" s="328">
        <v>32015.01</v>
      </c>
      <c r="CM83" s="325"/>
      <c r="CN83" s="335"/>
      <c r="CO83" s="328"/>
      <c r="CP83" s="328"/>
      <c r="CQ83" s="328"/>
      <c r="CR83" s="332"/>
      <c r="CS83" s="332"/>
      <c r="CT83" s="332"/>
      <c r="CU83" s="332"/>
      <c r="CV83" s="324">
        <v>8.3699999999999992</v>
      </c>
      <c r="CW83" s="324">
        <v>12.14</v>
      </c>
      <c r="CX83" s="324">
        <v>21.76</v>
      </c>
      <c r="CY83" s="324">
        <v>21.76</v>
      </c>
    </row>
    <row r="84" spans="1:103" s="320" customFormat="1" ht="12" customHeight="1" x14ac:dyDescent="0.2">
      <c r="A84" s="322" t="s">
        <v>178</v>
      </c>
      <c r="B84" s="321">
        <f t="shared" si="14"/>
        <v>44789</v>
      </c>
      <c r="C84" s="332"/>
      <c r="D84" s="332"/>
      <c r="E84" s="332"/>
      <c r="F84" s="332"/>
      <c r="G84" s="325"/>
      <c r="H84" s="325"/>
      <c r="I84" s="325"/>
      <c r="J84" s="325"/>
      <c r="K84" s="325"/>
      <c r="L84" s="325"/>
      <c r="M84" s="325"/>
      <c r="N84" s="325"/>
      <c r="O84" s="320">
        <f t="shared" si="13"/>
        <v>0</v>
      </c>
      <c r="P84" s="332"/>
      <c r="Q84" s="322">
        <f t="shared" si="12"/>
        <v>0</v>
      </c>
      <c r="R84" s="323">
        <v>20.309999999999999</v>
      </c>
      <c r="S84" s="323">
        <v>37.630000000000003</v>
      </c>
      <c r="T84" s="323">
        <v>33.619999999999997</v>
      </c>
      <c r="U84" s="323">
        <v>56.63</v>
      </c>
      <c r="V84" s="325"/>
      <c r="W84" s="325"/>
      <c r="X84" s="325"/>
      <c r="Y84" s="325"/>
      <c r="Z84" s="325"/>
      <c r="AA84" s="325"/>
      <c r="AB84" s="325"/>
      <c r="AC84" s="325"/>
      <c r="AD84" s="323">
        <v>264.41000000000003</v>
      </c>
      <c r="AE84" s="323">
        <v>490.21</v>
      </c>
      <c r="AF84" s="323">
        <v>437.08</v>
      </c>
      <c r="AG84" s="323">
        <v>737.27</v>
      </c>
      <c r="AH84" s="325"/>
      <c r="AI84" s="325"/>
      <c r="AJ84" s="325"/>
      <c r="AK84" s="325"/>
      <c r="AL84" s="325"/>
      <c r="AM84" s="325"/>
      <c r="AN84" s="325"/>
      <c r="AO84" s="325"/>
      <c r="AP84" s="323">
        <v>41.98</v>
      </c>
      <c r="AQ84" s="323">
        <v>77.83</v>
      </c>
      <c r="AR84" s="323">
        <v>69.400000000000006</v>
      </c>
      <c r="AS84" s="323">
        <v>117.06</v>
      </c>
      <c r="AT84" s="325"/>
      <c r="AU84" s="325"/>
      <c r="AV84" s="325"/>
      <c r="AW84" s="325"/>
      <c r="AX84" s="325"/>
      <c r="AY84" s="325"/>
      <c r="AZ84" s="325"/>
      <c r="BA84" s="325"/>
      <c r="BB84" s="323">
        <v>404.3</v>
      </c>
      <c r="BC84" s="323">
        <v>749.56</v>
      </c>
      <c r="BD84" s="323">
        <v>668.33</v>
      </c>
      <c r="BE84" s="323">
        <v>1127.3499999999999</v>
      </c>
      <c r="BF84" s="325"/>
      <c r="BG84" s="325"/>
      <c r="BH84" s="325"/>
      <c r="BI84" s="325"/>
      <c r="BJ84" s="325"/>
      <c r="BK84" s="325"/>
      <c r="BL84" s="325"/>
      <c r="BM84" s="325"/>
      <c r="BN84" s="329">
        <v>788.29</v>
      </c>
      <c r="BO84" s="329">
        <v>1469.83</v>
      </c>
      <c r="BP84" s="329">
        <v>1322.95</v>
      </c>
      <c r="BQ84" s="329">
        <v>2152.85</v>
      </c>
      <c r="BR84" s="325"/>
      <c r="BS84" s="325"/>
      <c r="BT84" s="325"/>
      <c r="BU84" s="325"/>
      <c r="BV84" s="325"/>
      <c r="BW84" s="325"/>
      <c r="BX84" s="325"/>
      <c r="BY84" s="325"/>
      <c r="BZ84" s="329">
        <v>-303.33</v>
      </c>
      <c r="CA84" s="322">
        <v>-637</v>
      </c>
      <c r="CB84" s="322">
        <v>-528.66999999999996</v>
      </c>
      <c r="CC84" s="322">
        <v>-767</v>
      </c>
      <c r="CD84" s="325"/>
      <c r="CE84" s="325"/>
      <c r="CF84" s="325"/>
      <c r="CG84" s="325"/>
      <c r="CH84" s="325"/>
      <c r="CI84" s="325"/>
      <c r="CJ84" s="325"/>
      <c r="CK84" s="325"/>
      <c r="CL84" s="328"/>
      <c r="CM84" s="325"/>
      <c r="CN84" s="335"/>
      <c r="CO84" s="328"/>
      <c r="CP84" s="328"/>
      <c r="CQ84" s="328"/>
      <c r="CR84" s="332"/>
      <c r="CS84" s="332"/>
      <c r="CT84" s="332"/>
      <c r="CU84" s="332"/>
      <c r="CV84" s="324">
        <v>8.3699999999999992</v>
      </c>
      <c r="CW84" s="324">
        <v>12.14</v>
      </c>
      <c r="CX84" s="324">
        <v>21.76</v>
      </c>
      <c r="CY84" s="324">
        <v>21.76</v>
      </c>
    </row>
    <row r="85" spans="1:103" s="320" customFormat="1" ht="12" customHeight="1" x14ac:dyDescent="0.2">
      <c r="A85" s="322">
        <v>50000</v>
      </c>
      <c r="B85" s="321">
        <f t="shared" si="14"/>
        <v>44820</v>
      </c>
      <c r="C85" s="332"/>
      <c r="D85" s="332"/>
      <c r="E85" s="332"/>
      <c r="F85" s="332"/>
      <c r="G85" s="325"/>
      <c r="H85" s="325"/>
      <c r="I85" s="325"/>
      <c r="J85" s="325"/>
      <c r="K85" s="325"/>
      <c r="L85" s="325"/>
      <c r="M85" s="325"/>
      <c r="N85" s="325"/>
      <c r="O85" s="320">
        <f t="shared" si="13"/>
        <v>0</v>
      </c>
      <c r="P85" s="332"/>
      <c r="Q85" s="322">
        <f t="shared" si="12"/>
        <v>0</v>
      </c>
      <c r="R85" s="323">
        <v>20.309999999999999</v>
      </c>
      <c r="S85" s="323">
        <v>37.630000000000003</v>
      </c>
      <c r="T85" s="323">
        <v>33.619999999999997</v>
      </c>
      <c r="U85" s="323">
        <v>56.63</v>
      </c>
      <c r="V85" s="325"/>
      <c r="W85" s="325"/>
      <c r="X85" s="325"/>
      <c r="Y85" s="325"/>
      <c r="Z85" s="325"/>
      <c r="AA85" s="325"/>
      <c r="AB85" s="325"/>
      <c r="AC85" s="325"/>
      <c r="AD85" s="323">
        <v>264.41000000000003</v>
      </c>
      <c r="AE85" s="323">
        <v>490.21</v>
      </c>
      <c r="AF85" s="323">
        <v>437.08</v>
      </c>
      <c r="AG85" s="323">
        <v>737.27</v>
      </c>
      <c r="AH85" s="325"/>
      <c r="AI85" s="325"/>
      <c r="AJ85" s="325"/>
      <c r="AK85" s="325"/>
      <c r="AL85" s="325"/>
      <c r="AM85" s="325"/>
      <c r="AN85" s="325"/>
      <c r="AO85" s="325"/>
      <c r="AP85" s="323">
        <v>41.98</v>
      </c>
      <c r="AQ85" s="323">
        <v>77.83</v>
      </c>
      <c r="AR85" s="323">
        <v>69.400000000000006</v>
      </c>
      <c r="AS85" s="323">
        <v>117.06</v>
      </c>
      <c r="AT85" s="325"/>
      <c r="AU85" s="325"/>
      <c r="AV85" s="325"/>
      <c r="AW85" s="325"/>
      <c r="AX85" s="325"/>
      <c r="AY85" s="325"/>
      <c r="AZ85" s="325"/>
      <c r="BA85" s="325"/>
      <c r="BB85" s="323">
        <v>404.3</v>
      </c>
      <c r="BC85" s="323">
        <v>749.56</v>
      </c>
      <c r="BD85" s="323">
        <v>668.33</v>
      </c>
      <c r="BE85" s="323">
        <v>1127.3499999999999</v>
      </c>
      <c r="BF85" s="325"/>
      <c r="BG85" s="325"/>
      <c r="BH85" s="325"/>
      <c r="BI85" s="325"/>
      <c r="BJ85" s="325"/>
      <c r="BK85" s="325"/>
      <c r="BL85" s="325"/>
      <c r="BM85" s="325"/>
      <c r="BN85" s="329">
        <v>788.29</v>
      </c>
      <c r="BO85" s="329">
        <v>1469.83</v>
      </c>
      <c r="BP85" s="329">
        <v>1322.95</v>
      </c>
      <c r="BQ85" s="329">
        <v>2152.85</v>
      </c>
      <c r="BR85" s="325"/>
      <c r="BS85" s="325"/>
      <c r="BT85" s="325"/>
      <c r="BU85" s="325"/>
      <c r="BV85" s="325"/>
      <c r="BW85" s="325"/>
      <c r="BX85" s="325"/>
      <c r="BY85" s="325"/>
      <c r="BZ85" s="329">
        <v>-303.33</v>
      </c>
      <c r="CA85" s="322">
        <v>-637</v>
      </c>
      <c r="CB85" s="322">
        <v>-528.66999999999996</v>
      </c>
      <c r="CC85" s="322">
        <v>-767</v>
      </c>
      <c r="CD85" s="325"/>
      <c r="CE85" s="325"/>
      <c r="CF85" s="325"/>
      <c r="CG85" s="325"/>
      <c r="CH85" s="325"/>
      <c r="CI85" s="325"/>
      <c r="CJ85" s="325"/>
      <c r="CK85" s="325"/>
      <c r="CL85" s="328"/>
      <c r="CM85" s="325"/>
      <c r="CN85" s="335"/>
      <c r="CO85" s="328"/>
      <c r="CP85" s="328"/>
      <c r="CQ85" s="328"/>
      <c r="CR85" s="332"/>
      <c r="CS85" s="332"/>
      <c r="CT85" s="332"/>
      <c r="CU85" s="332"/>
      <c r="CV85" s="324">
        <v>8.3699999999999992</v>
      </c>
      <c r="CW85" s="324">
        <v>12.14</v>
      </c>
      <c r="CX85" s="324">
        <v>21.76</v>
      </c>
      <c r="CY85" s="324">
        <v>21.76</v>
      </c>
    </row>
    <row r="86" spans="1:103" s="320" customFormat="1" ht="12" customHeight="1" x14ac:dyDescent="0.2">
      <c r="B86" s="321">
        <f t="shared" si="14"/>
        <v>44851</v>
      </c>
      <c r="C86" s="332"/>
      <c r="D86" s="332"/>
      <c r="E86" s="332"/>
      <c r="F86" s="332"/>
      <c r="G86" s="325"/>
      <c r="H86" s="325"/>
      <c r="I86" s="325"/>
      <c r="J86" s="325"/>
      <c r="K86" s="325"/>
      <c r="L86" s="325"/>
      <c r="M86" s="325"/>
      <c r="N86" s="325"/>
      <c r="O86" s="320">
        <f t="shared" si="13"/>
        <v>0</v>
      </c>
      <c r="P86" s="332"/>
      <c r="Q86" s="322" t="e">
        <f t="shared" si="12"/>
        <v>#DIV/0!</v>
      </c>
      <c r="R86" s="323">
        <v>20.309999999999999</v>
      </c>
      <c r="S86" s="323">
        <v>37.630000000000003</v>
      </c>
      <c r="T86" s="323">
        <v>33.619999999999997</v>
      </c>
      <c r="U86" s="323">
        <v>56.63</v>
      </c>
      <c r="V86" s="325"/>
      <c r="W86" s="325"/>
      <c r="X86" s="325"/>
      <c r="Y86" s="325"/>
      <c r="Z86" s="325"/>
      <c r="AA86" s="325"/>
      <c r="AB86" s="325"/>
      <c r="AC86" s="325"/>
      <c r="AD86" s="323">
        <v>264.41000000000003</v>
      </c>
      <c r="AE86" s="323">
        <v>490.21</v>
      </c>
      <c r="AF86" s="323">
        <v>437.08</v>
      </c>
      <c r="AG86" s="323">
        <v>737.27</v>
      </c>
      <c r="AH86" s="325"/>
      <c r="AI86" s="325"/>
      <c r="AJ86" s="325"/>
      <c r="AK86" s="325"/>
      <c r="AL86" s="325"/>
      <c r="AM86" s="325"/>
      <c r="AN86" s="325"/>
      <c r="AO86" s="325"/>
      <c r="AP86" s="323">
        <v>41.98</v>
      </c>
      <c r="AQ86" s="323">
        <v>77.83</v>
      </c>
      <c r="AR86" s="323">
        <v>69.400000000000006</v>
      </c>
      <c r="AS86" s="323">
        <v>117.06</v>
      </c>
      <c r="AT86" s="325"/>
      <c r="AU86" s="325"/>
      <c r="AV86" s="325"/>
      <c r="AW86" s="325"/>
      <c r="AX86" s="325"/>
      <c r="AY86" s="325"/>
      <c r="AZ86" s="325"/>
      <c r="BA86" s="325"/>
      <c r="BB86" s="323">
        <v>404.3</v>
      </c>
      <c r="BC86" s="323">
        <v>749.56</v>
      </c>
      <c r="BD86" s="323">
        <v>668.33</v>
      </c>
      <c r="BE86" s="323">
        <v>1127.3499999999999</v>
      </c>
      <c r="BF86" s="325"/>
      <c r="BG86" s="325"/>
      <c r="BH86" s="325"/>
      <c r="BI86" s="325"/>
      <c r="BJ86" s="325"/>
      <c r="BK86" s="325"/>
      <c r="BL86" s="325"/>
      <c r="BM86" s="325"/>
      <c r="BN86" s="329">
        <v>788.29</v>
      </c>
      <c r="BO86" s="329">
        <v>1469.83</v>
      </c>
      <c r="BP86" s="329">
        <v>1322.95</v>
      </c>
      <c r="BQ86" s="329">
        <v>2152.85</v>
      </c>
      <c r="BR86" s="325"/>
      <c r="BS86" s="325"/>
      <c r="BT86" s="325"/>
      <c r="BU86" s="325"/>
      <c r="BV86" s="325"/>
      <c r="BW86" s="325"/>
      <c r="BX86" s="325"/>
      <c r="BY86" s="325"/>
      <c r="BZ86" s="329">
        <v>-303.33</v>
      </c>
      <c r="CA86" s="322">
        <v>-637</v>
      </c>
      <c r="CB86" s="322">
        <v>-528.66999999999996</v>
      </c>
      <c r="CC86" s="322">
        <v>-767</v>
      </c>
      <c r="CD86" s="325"/>
      <c r="CE86" s="325"/>
      <c r="CF86" s="325"/>
      <c r="CG86" s="325"/>
      <c r="CH86" s="325"/>
      <c r="CI86" s="325"/>
      <c r="CJ86" s="325"/>
      <c r="CK86" s="325"/>
      <c r="CL86" s="328"/>
      <c r="CM86" s="325"/>
      <c r="CN86" s="335"/>
      <c r="CO86" s="328"/>
      <c r="CP86" s="328"/>
      <c r="CQ86" s="328"/>
      <c r="CR86" s="332"/>
      <c r="CS86" s="332"/>
      <c r="CT86" s="332"/>
      <c r="CU86" s="332"/>
      <c r="CV86" s="324">
        <v>8.3699999999999992</v>
      </c>
      <c r="CW86" s="324">
        <v>12.14</v>
      </c>
      <c r="CX86" s="324">
        <v>21.76</v>
      </c>
      <c r="CY86" s="324">
        <v>21.76</v>
      </c>
    </row>
    <row r="87" spans="1:103" s="320" customFormat="1" ht="12" customHeight="1" x14ac:dyDescent="0.2">
      <c r="B87" s="321">
        <f t="shared" si="14"/>
        <v>44882</v>
      </c>
      <c r="C87" s="332"/>
      <c r="D87" s="332"/>
      <c r="E87" s="332"/>
      <c r="F87" s="332"/>
      <c r="G87" s="325"/>
      <c r="H87" s="325"/>
      <c r="I87" s="325"/>
      <c r="J87" s="325"/>
      <c r="K87" s="325"/>
      <c r="L87" s="325"/>
      <c r="M87" s="325"/>
      <c r="N87" s="325"/>
      <c r="O87" s="320">
        <f t="shared" si="13"/>
        <v>0</v>
      </c>
      <c r="P87" s="332"/>
      <c r="Q87" s="322" t="e">
        <f t="shared" si="12"/>
        <v>#DIV/0!</v>
      </c>
      <c r="R87" s="323">
        <v>20.309999999999999</v>
      </c>
      <c r="S87" s="323">
        <v>37.630000000000003</v>
      </c>
      <c r="T87" s="323">
        <v>33.619999999999997</v>
      </c>
      <c r="U87" s="323">
        <v>56.63</v>
      </c>
      <c r="V87" s="325"/>
      <c r="W87" s="325"/>
      <c r="X87" s="325"/>
      <c r="Y87" s="325"/>
      <c r="Z87" s="325"/>
      <c r="AA87" s="325"/>
      <c r="AB87" s="325"/>
      <c r="AC87" s="325"/>
      <c r="AD87" s="323">
        <v>264.41000000000003</v>
      </c>
      <c r="AE87" s="323">
        <v>490.21</v>
      </c>
      <c r="AF87" s="323">
        <v>437.08</v>
      </c>
      <c r="AG87" s="323">
        <v>737.27</v>
      </c>
      <c r="AH87" s="325"/>
      <c r="AI87" s="325"/>
      <c r="AJ87" s="325"/>
      <c r="AK87" s="325"/>
      <c r="AL87" s="325"/>
      <c r="AM87" s="325"/>
      <c r="AN87" s="325"/>
      <c r="AO87" s="325"/>
      <c r="AP87" s="323">
        <v>41.98</v>
      </c>
      <c r="AQ87" s="323">
        <v>77.83</v>
      </c>
      <c r="AR87" s="323">
        <v>69.400000000000006</v>
      </c>
      <c r="AS87" s="323">
        <v>117.06</v>
      </c>
      <c r="AT87" s="325"/>
      <c r="AU87" s="325"/>
      <c r="AV87" s="325"/>
      <c r="AW87" s="325"/>
      <c r="AX87" s="325"/>
      <c r="AY87" s="325"/>
      <c r="AZ87" s="325"/>
      <c r="BA87" s="325"/>
      <c r="BB87" s="323">
        <v>404.3</v>
      </c>
      <c r="BC87" s="323">
        <v>749.56</v>
      </c>
      <c r="BD87" s="323">
        <v>668.33</v>
      </c>
      <c r="BE87" s="323">
        <v>1127.3499999999999</v>
      </c>
      <c r="BF87" s="325"/>
      <c r="BG87" s="325"/>
      <c r="BH87" s="325"/>
      <c r="BI87" s="325"/>
      <c r="BJ87" s="325"/>
      <c r="BK87" s="325"/>
      <c r="BL87" s="325"/>
      <c r="BM87" s="325"/>
      <c r="BN87" s="329">
        <v>788.29</v>
      </c>
      <c r="BO87" s="329">
        <v>1469.83</v>
      </c>
      <c r="BP87" s="329">
        <v>1322.95</v>
      </c>
      <c r="BQ87" s="329">
        <v>2152.85</v>
      </c>
      <c r="BR87" s="325"/>
      <c r="BS87" s="325"/>
      <c r="BT87" s="325"/>
      <c r="BU87" s="325"/>
      <c r="BV87" s="325"/>
      <c r="BW87" s="325"/>
      <c r="BX87" s="325"/>
      <c r="BY87" s="325"/>
      <c r="BZ87" s="329">
        <v>-303.33</v>
      </c>
      <c r="CA87" s="322">
        <v>-637</v>
      </c>
      <c r="CB87" s="322">
        <v>-528.66999999999996</v>
      </c>
      <c r="CC87" s="322">
        <v>-767</v>
      </c>
      <c r="CD87" s="325"/>
      <c r="CE87" s="325"/>
      <c r="CF87" s="325"/>
      <c r="CG87" s="325"/>
      <c r="CH87" s="325"/>
      <c r="CI87" s="325"/>
      <c r="CJ87" s="325"/>
      <c r="CK87" s="325"/>
      <c r="CL87" s="328"/>
      <c r="CM87" s="325"/>
      <c r="CN87" s="335"/>
      <c r="CO87" s="328"/>
      <c r="CP87" s="328"/>
      <c r="CQ87" s="328"/>
      <c r="CR87" s="332"/>
      <c r="CS87" s="332"/>
      <c r="CT87" s="332"/>
      <c r="CU87" s="332"/>
      <c r="CV87" s="324">
        <v>8.3699999999999992</v>
      </c>
      <c r="CW87" s="324">
        <v>12.14</v>
      </c>
      <c r="CX87" s="324">
        <v>21.76</v>
      </c>
      <c r="CY87" s="324">
        <v>21.76</v>
      </c>
    </row>
    <row r="88" spans="1:103" s="320" customFormat="1" ht="12" customHeight="1" x14ac:dyDescent="0.2">
      <c r="B88" s="321">
        <f t="shared" si="14"/>
        <v>44913</v>
      </c>
      <c r="C88" s="332"/>
      <c r="D88" s="332"/>
      <c r="E88" s="332"/>
      <c r="F88" s="332"/>
      <c r="G88" s="325"/>
      <c r="H88" s="325"/>
      <c r="I88" s="325"/>
      <c r="J88" s="325"/>
      <c r="K88" s="325"/>
      <c r="L88" s="325"/>
      <c r="M88" s="325"/>
      <c r="N88" s="325"/>
      <c r="O88" s="320">
        <f t="shared" si="13"/>
        <v>0</v>
      </c>
      <c r="P88" s="332"/>
      <c r="Q88" s="322" t="e">
        <f t="shared" si="12"/>
        <v>#DIV/0!</v>
      </c>
      <c r="R88" s="323">
        <v>20.309999999999999</v>
      </c>
      <c r="S88" s="323">
        <v>37.630000000000003</v>
      </c>
      <c r="T88" s="323">
        <v>33.619999999999997</v>
      </c>
      <c r="U88" s="323">
        <v>56.63</v>
      </c>
      <c r="V88" s="325"/>
      <c r="W88" s="325"/>
      <c r="X88" s="325"/>
      <c r="Y88" s="325"/>
      <c r="Z88" s="325"/>
      <c r="AA88" s="325"/>
      <c r="AB88" s="325"/>
      <c r="AC88" s="325"/>
      <c r="AD88" s="323">
        <v>264.41000000000003</v>
      </c>
      <c r="AE88" s="323">
        <v>490.21</v>
      </c>
      <c r="AF88" s="323">
        <v>437.08</v>
      </c>
      <c r="AG88" s="323">
        <v>737.27</v>
      </c>
      <c r="AH88" s="325"/>
      <c r="AI88" s="325"/>
      <c r="AJ88" s="325"/>
      <c r="AK88" s="325"/>
      <c r="AL88" s="325"/>
      <c r="AM88" s="325"/>
      <c r="AN88" s="325"/>
      <c r="AO88" s="325"/>
      <c r="AP88" s="323">
        <v>41.98</v>
      </c>
      <c r="AQ88" s="323">
        <v>77.83</v>
      </c>
      <c r="AR88" s="323">
        <v>69.400000000000006</v>
      </c>
      <c r="AS88" s="323">
        <v>117.06</v>
      </c>
      <c r="AT88" s="325"/>
      <c r="AU88" s="325"/>
      <c r="AV88" s="325"/>
      <c r="AW88" s="325"/>
      <c r="AX88" s="325"/>
      <c r="AY88" s="325"/>
      <c r="AZ88" s="325"/>
      <c r="BA88" s="325"/>
      <c r="BB88" s="323">
        <v>404.3</v>
      </c>
      <c r="BC88" s="323">
        <v>749.56</v>
      </c>
      <c r="BD88" s="323">
        <v>668.33</v>
      </c>
      <c r="BE88" s="323">
        <v>1127.3499999999999</v>
      </c>
      <c r="BF88" s="325"/>
      <c r="BG88" s="325"/>
      <c r="BH88" s="325"/>
      <c r="BI88" s="325"/>
      <c r="BJ88" s="325"/>
      <c r="BK88" s="325"/>
      <c r="BL88" s="325"/>
      <c r="BM88" s="325"/>
      <c r="BN88" s="329">
        <v>788.29</v>
      </c>
      <c r="BO88" s="329">
        <v>1469.83</v>
      </c>
      <c r="BP88" s="329">
        <v>1322.95</v>
      </c>
      <c r="BQ88" s="329">
        <v>2152.85</v>
      </c>
      <c r="BR88" s="325"/>
      <c r="BS88" s="325"/>
      <c r="BT88" s="325"/>
      <c r="BU88" s="325"/>
      <c r="BV88" s="325"/>
      <c r="BW88" s="325"/>
      <c r="BX88" s="325"/>
      <c r="BY88" s="325"/>
      <c r="BZ88" s="329">
        <v>-303.33</v>
      </c>
      <c r="CA88" s="322">
        <v>-637</v>
      </c>
      <c r="CB88" s="322">
        <v>-528.66999999999996</v>
      </c>
      <c r="CC88" s="322">
        <v>-767</v>
      </c>
      <c r="CD88" s="325"/>
      <c r="CE88" s="325"/>
      <c r="CF88" s="325"/>
      <c r="CG88" s="325"/>
      <c r="CH88" s="325"/>
      <c r="CI88" s="325"/>
      <c r="CJ88" s="325"/>
      <c r="CK88" s="325"/>
      <c r="CL88" s="328"/>
      <c r="CM88" s="325"/>
      <c r="CN88" s="335"/>
      <c r="CO88" s="328"/>
      <c r="CP88" s="328"/>
      <c r="CQ88" s="328"/>
      <c r="CR88" s="332"/>
      <c r="CS88" s="332"/>
      <c r="CT88" s="332"/>
      <c r="CU88" s="332"/>
      <c r="CV88" s="324">
        <v>8.3699999999999992</v>
      </c>
      <c r="CW88" s="324">
        <v>12.14</v>
      </c>
      <c r="CX88" s="324">
        <v>21.76</v>
      </c>
      <c r="CY88" s="324">
        <v>21.76</v>
      </c>
    </row>
    <row r="89" spans="1:103" ht="12" customHeight="1" x14ac:dyDescent="0.2"/>
    <row r="90" spans="1:103" ht="12" customHeight="1" x14ac:dyDescent="0.2"/>
    <row r="91" spans="1:103" ht="12" customHeight="1" x14ac:dyDescent="0.2"/>
    <row r="92" spans="1:103" ht="12" customHeight="1" x14ac:dyDescent="0.2"/>
    <row r="93" spans="1:103" ht="12" customHeight="1" x14ac:dyDescent="0.2"/>
    <row r="94" spans="1:103" ht="12" customHeight="1" x14ac:dyDescent="0.2"/>
    <row r="95" spans="1:103" ht="12" customHeight="1" x14ac:dyDescent="0.2"/>
    <row r="96" spans="1:103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</sheetData>
  <phoneticPr fontId="36" type="noConversion"/>
  <pageMargins left="0.7" right="0.7" top="0.75" bottom="0.75" header="0.3" footer="0.3"/>
  <pageSetup orientation="portrait" r:id="rId1"/>
  <ignoredErrors>
    <ignoredError sqref="Q67:Q78" formulaRange="1"/>
    <ignoredError sqref="Q79:Q88" evalError="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E26"/>
  <sheetViews>
    <sheetView showGridLines="0" workbookViewId="0">
      <selection activeCell="C32" sqref="C32"/>
    </sheetView>
  </sheetViews>
  <sheetFormatPr defaultRowHeight="12.75" x14ac:dyDescent="0.2"/>
  <cols>
    <col min="1" max="2" width="23.85546875" customWidth="1"/>
    <col min="3" max="4" width="23.85546875" style="415" customWidth="1"/>
    <col min="5" max="5" width="23.85546875" customWidth="1"/>
  </cols>
  <sheetData>
    <row r="6" spans="1:5" ht="13.5" thickBot="1" x14ac:dyDescent="0.25"/>
    <row r="7" spans="1:5" x14ac:dyDescent="0.2">
      <c r="A7" s="69">
        <v>2021</v>
      </c>
      <c r="B7" s="34"/>
      <c r="C7" s="416"/>
      <c r="D7" s="416"/>
      <c r="E7" s="36"/>
    </row>
    <row r="8" spans="1:5" x14ac:dyDescent="0.2">
      <c r="A8" s="37" t="s">
        <v>165</v>
      </c>
      <c r="B8" s="40"/>
      <c r="C8" s="417"/>
      <c r="D8" s="417"/>
      <c r="E8" s="41"/>
    </row>
    <row r="9" spans="1:5" x14ac:dyDescent="0.2">
      <c r="A9" s="37" t="s">
        <v>166</v>
      </c>
      <c r="B9" s="40"/>
      <c r="C9" s="417"/>
      <c r="D9" s="417"/>
      <c r="E9" s="41"/>
    </row>
    <row r="10" spans="1:5" x14ac:dyDescent="0.2">
      <c r="A10" s="42"/>
      <c r="B10" s="40"/>
      <c r="C10" s="417"/>
      <c r="D10" s="417"/>
      <c r="E10" s="41"/>
    </row>
    <row r="11" spans="1:5" x14ac:dyDescent="0.2">
      <c r="A11" s="37" t="s">
        <v>160</v>
      </c>
      <c r="B11" s="38" t="s">
        <v>161</v>
      </c>
      <c r="C11" s="418" t="s">
        <v>162</v>
      </c>
      <c r="D11" s="418" t="s">
        <v>163</v>
      </c>
      <c r="E11" s="419" t="s">
        <v>164</v>
      </c>
    </row>
    <row r="12" spans="1:5" x14ac:dyDescent="0.2">
      <c r="A12" s="37" t="s">
        <v>167</v>
      </c>
      <c r="B12" s="38"/>
      <c r="C12" s="417">
        <v>15859</v>
      </c>
      <c r="D12" s="417"/>
      <c r="E12" s="41"/>
    </row>
    <row r="13" spans="1:5" ht="13.5" thickBot="1" x14ac:dyDescent="0.25">
      <c r="A13" s="68"/>
      <c r="B13" s="63"/>
      <c r="C13" s="420"/>
      <c r="D13" s="420"/>
      <c r="E13" s="64"/>
    </row>
    <row r="14" spans="1:5" ht="13.5" thickBot="1" x14ac:dyDescent="0.25"/>
    <row r="15" spans="1:5" x14ac:dyDescent="0.2">
      <c r="A15" s="69">
        <v>2022</v>
      </c>
      <c r="B15" s="34"/>
      <c r="C15" s="416"/>
      <c r="D15" s="416"/>
      <c r="E15" s="36"/>
    </row>
    <row r="16" spans="1:5" x14ac:dyDescent="0.2">
      <c r="A16" s="37" t="s">
        <v>165</v>
      </c>
      <c r="B16" s="40"/>
      <c r="C16" s="417"/>
      <c r="D16" s="422" t="s">
        <v>216</v>
      </c>
      <c r="E16" s="423"/>
    </row>
    <row r="17" spans="1:5" x14ac:dyDescent="0.2">
      <c r="A17" s="37" t="s">
        <v>166</v>
      </c>
      <c r="B17" s="424">
        <v>50000</v>
      </c>
      <c r="C17" s="417"/>
      <c r="D17" s="417"/>
      <c r="E17" s="41"/>
    </row>
    <row r="18" spans="1:5" x14ac:dyDescent="0.2">
      <c r="A18" s="42"/>
      <c r="B18" s="40"/>
      <c r="C18" s="417"/>
      <c r="D18" s="417"/>
      <c r="E18" s="41"/>
    </row>
    <row r="19" spans="1:5" x14ac:dyDescent="0.2">
      <c r="A19" s="37" t="s">
        <v>160</v>
      </c>
      <c r="B19" s="38" t="s">
        <v>161</v>
      </c>
      <c r="C19" s="425" t="s">
        <v>162</v>
      </c>
      <c r="D19" s="425" t="s">
        <v>163</v>
      </c>
      <c r="E19" s="426" t="s">
        <v>164</v>
      </c>
    </row>
    <row r="20" spans="1:5" x14ac:dyDescent="0.2">
      <c r="A20" s="421" t="s">
        <v>213</v>
      </c>
      <c r="B20" s="38"/>
      <c r="C20" s="433">
        <v>134970.28</v>
      </c>
      <c r="D20" s="433">
        <f>C20-B17</f>
        <v>84970.28</v>
      </c>
      <c r="E20" s="429">
        <f t="shared" ref="E20" si="0">C20-D20</f>
        <v>50000</v>
      </c>
    </row>
    <row r="21" spans="1:5" x14ac:dyDescent="0.2">
      <c r="A21" s="421" t="s">
        <v>214</v>
      </c>
      <c r="B21" s="40"/>
      <c r="C21" s="433">
        <v>52574.02</v>
      </c>
      <c r="D21" s="433">
        <f>C21-B17</f>
        <v>2574.0199999999968</v>
      </c>
      <c r="E21" s="429">
        <f>C21-D21</f>
        <v>50000</v>
      </c>
    </row>
    <row r="22" spans="1:5" x14ac:dyDescent="0.2">
      <c r="A22" s="42" t="s">
        <v>217</v>
      </c>
      <c r="B22" s="40"/>
      <c r="C22" s="433">
        <v>128644.92</v>
      </c>
      <c r="D22" s="433">
        <f>C22-B17</f>
        <v>78644.92</v>
      </c>
      <c r="E22" s="429">
        <f>C22-D22</f>
        <v>50000</v>
      </c>
    </row>
    <row r="23" spans="1:5" x14ac:dyDescent="0.2">
      <c r="A23" s="42"/>
      <c r="B23" s="40"/>
      <c r="C23" s="427"/>
      <c r="D23" s="427"/>
      <c r="E23" s="428"/>
    </row>
    <row r="24" spans="1:5" x14ac:dyDescent="0.2">
      <c r="A24" s="42"/>
      <c r="B24" s="40"/>
      <c r="C24" s="427"/>
      <c r="D24" s="427"/>
      <c r="E24" s="428"/>
    </row>
    <row r="25" spans="1:5" x14ac:dyDescent="0.2">
      <c r="A25" s="42"/>
      <c r="B25" s="40"/>
      <c r="C25" s="427"/>
      <c r="D25" s="427"/>
      <c r="E25" s="428"/>
    </row>
    <row r="26" spans="1:5" ht="13.5" thickBot="1" x14ac:dyDescent="0.25">
      <c r="A26" s="68"/>
      <c r="B26" s="63"/>
      <c r="C26" s="430"/>
      <c r="D26" s="430"/>
      <c r="E26" s="43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95744-870C-46A2-B0DF-D2668FFC74B8}">
  <sheetPr>
    <pageSetUpPr fitToPage="1"/>
  </sheetPr>
  <dimension ref="A1:T86"/>
  <sheetViews>
    <sheetView showGridLines="0" zoomScaleNormal="100" workbookViewId="0">
      <selection activeCell="D29" sqref="D29"/>
    </sheetView>
  </sheetViews>
  <sheetFormatPr defaultRowHeight="16.5" x14ac:dyDescent="0.3"/>
  <cols>
    <col min="1" max="1" width="16.7109375" style="79" customWidth="1"/>
    <col min="2" max="7" width="16.7109375" style="256" customWidth="1"/>
    <col min="8" max="8" width="14.140625" style="78" customWidth="1"/>
    <col min="9" max="17" width="16.7109375" style="78" customWidth="1"/>
    <col min="18" max="19" width="16.5703125" style="78" customWidth="1"/>
    <col min="20" max="20" width="15" style="78" customWidth="1"/>
    <col min="21" max="16384" width="9.140625" style="78"/>
  </cols>
  <sheetData>
    <row r="1" spans="1:20" x14ac:dyDescent="0.3">
      <c r="A1" s="281" t="s">
        <v>149</v>
      </c>
      <c r="H1" s="256"/>
    </row>
    <row r="2" spans="1:20" x14ac:dyDescent="0.3">
      <c r="H2" s="256"/>
    </row>
    <row r="3" spans="1:20" s="286" customFormat="1" ht="17.25" thickBot="1" x14ac:dyDescent="0.35">
      <c r="A3" s="284"/>
      <c r="B3" s="285" t="s">
        <v>52</v>
      </c>
      <c r="C3" s="285" t="s">
        <v>118</v>
      </c>
      <c r="D3" s="285" t="s">
        <v>119</v>
      </c>
      <c r="E3" s="285" t="s">
        <v>120</v>
      </c>
      <c r="F3" s="285" t="s">
        <v>139</v>
      </c>
      <c r="G3" s="285"/>
      <c r="H3" s="285"/>
      <c r="I3" s="285"/>
      <c r="J3" s="285"/>
      <c r="K3" s="285"/>
      <c r="L3" s="285"/>
      <c r="M3" s="285"/>
      <c r="N3" s="285"/>
      <c r="P3" s="285"/>
      <c r="Q3" s="285"/>
      <c r="R3" s="285"/>
      <c r="S3" s="285"/>
      <c r="T3" s="285"/>
    </row>
    <row r="4" spans="1:20" x14ac:dyDescent="0.3">
      <c r="A4" s="79">
        <v>44562</v>
      </c>
      <c r="B4" s="273">
        <f>Data!C77</f>
        <v>53</v>
      </c>
      <c r="C4" s="274">
        <f>Data!D77</f>
        <v>10</v>
      </c>
      <c r="D4" s="274">
        <f>Data!E77</f>
        <v>3</v>
      </c>
      <c r="E4" s="274">
        <f>Data!F77</f>
        <v>7</v>
      </c>
      <c r="F4" s="275">
        <f>SUM(B4:E4)</f>
        <v>73</v>
      </c>
      <c r="G4" s="257"/>
      <c r="H4" s="79"/>
      <c r="I4" s="257"/>
      <c r="J4" s="257"/>
      <c r="K4" s="257"/>
      <c r="L4" s="257"/>
      <c r="M4" s="257"/>
      <c r="N4" s="257"/>
      <c r="O4" s="79"/>
      <c r="P4" s="257"/>
      <c r="Q4" s="257"/>
      <c r="R4" s="257"/>
      <c r="S4" s="257"/>
      <c r="T4" s="257"/>
    </row>
    <row r="5" spans="1:20" x14ac:dyDescent="0.3">
      <c r="A5" s="79">
        <f>31+A4</f>
        <v>44593</v>
      </c>
      <c r="B5" s="276">
        <f>Data!C78</f>
        <v>58</v>
      </c>
      <c r="C5" s="257">
        <f>Data!D78</f>
        <v>10</v>
      </c>
      <c r="D5" s="257">
        <f>Data!E78</f>
        <v>3</v>
      </c>
      <c r="E5" s="257">
        <f>Data!F78</f>
        <v>7</v>
      </c>
      <c r="F5" s="277">
        <f t="shared" ref="F5:F6" si="0">SUM(B5:E5)</f>
        <v>78</v>
      </c>
      <c r="G5" s="257"/>
      <c r="H5" s="79"/>
      <c r="I5" s="257"/>
      <c r="J5" s="257"/>
      <c r="K5" s="257"/>
      <c r="L5" s="257"/>
      <c r="M5" s="257"/>
      <c r="N5" s="257"/>
      <c r="O5" s="79"/>
      <c r="P5" s="257"/>
      <c r="Q5" s="257"/>
      <c r="R5" s="257"/>
      <c r="S5" s="257"/>
      <c r="T5" s="257"/>
    </row>
    <row r="6" spans="1:20" ht="13.5" customHeight="1" x14ac:dyDescent="0.3">
      <c r="A6" s="79">
        <f t="shared" ref="A6:A15" si="1">31+A5</f>
        <v>44624</v>
      </c>
      <c r="B6" s="276">
        <f>Data!C79</f>
        <v>57</v>
      </c>
      <c r="C6" s="257">
        <f>Data!D79</f>
        <v>8</v>
      </c>
      <c r="D6" s="257">
        <f>Data!E79</f>
        <v>3</v>
      </c>
      <c r="E6" s="257">
        <f>Data!F79</f>
        <v>7</v>
      </c>
      <c r="F6" s="277">
        <f t="shared" si="0"/>
        <v>75</v>
      </c>
      <c r="G6" s="257"/>
      <c r="H6" s="79"/>
      <c r="I6" s="257"/>
      <c r="J6" s="257"/>
      <c r="K6" s="257"/>
      <c r="L6" s="257"/>
      <c r="M6" s="257"/>
      <c r="N6" s="257"/>
      <c r="O6" s="79"/>
      <c r="P6" s="257"/>
      <c r="Q6" s="257"/>
      <c r="R6" s="257"/>
      <c r="S6" s="257"/>
      <c r="T6" s="257"/>
    </row>
    <row r="7" spans="1:20" x14ac:dyDescent="0.3">
      <c r="A7" s="79">
        <f t="shared" si="1"/>
        <v>44655</v>
      </c>
      <c r="B7" s="276">
        <f>Data!C80</f>
        <v>54</v>
      </c>
      <c r="C7" s="257">
        <f>Data!D80</f>
        <v>7</v>
      </c>
      <c r="D7" s="257">
        <f>Data!E80</f>
        <v>5</v>
      </c>
      <c r="E7" s="257">
        <f>Data!F80</f>
        <v>7</v>
      </c>
      <c r="F7" s="277">
        <f t="shared" ref="F7" si="2">SUM(B7:E7)</f>
        <v>73</v>
      </c>
      <c r="G7" s="257"/>
      <c r="H7" s="79"/>
      <c r="I7" s="257"/>
      <c r="J7" s="257"/>
      <c r="K7" s="257"/>
      <c r="L7" s="257"/>
      <c r="M7" s="257"/>
      <c r="N7" s="257"/>
      <c r="O7" s="79"/>
      <c r="P7" s="257"/>
      <c r="Q7" s="257"/>
      <c r="R7" s="257"/>
      <c r="S7" s="257"/>
      <c r="T7" s="257"/>
    </row>
    <row r="8" spans="1:20" x14ac:dyDescent="0.3">
      <c r="A8" s="79">
        <f t="shared" si="1"/>
        <v>44686</v>
      </c>
      <c r="B8" s="276">
        <f>Data!C81</f>
        <v>59</v>
      </c>
      <c r="C8" s="257">
        <f>Data!D81</f>
        <v>8</v>
      </c>
      <c r="D8" s="257">
        <f>Data!E81</f>
        <v>4</v>
      </c>
      <c r="E8" s="257">
        <f>Data!F81</f>
        <v>7</v>
      </c>
      <c r="F8" s="277">
        <f t="shared" ref="F8" si="3">SUM(B8:E8)</f>
        <v>78</v>
      </c>
      <c r="G8" s="257"/>
      <c r="H8" s="79"/>
      <c r="I8" s="257"/>
      <c r="J8" s="257"/>
      <c r="K8" s="257"/>
      <c r="L8" s="257"/>
      <c r="M8" s="257"/>
      <c r="N8" s="257"/>
      <c r="O8" s="79"/>
      <c r="P8" s="257"/>
      <c r="Q8" s="257"/>
      <c r="R8" s="257"/>
      <c r="S8" s="257"/>
      <c r="T8" s="257"/>
    </row>
    <row r="9" spans="1:20" x14ac:dyDescent="0.3">
      <c r="A9" s="79">
        <f t="shared" si="1"/>
        <v>44717</v>
      </c>
      <c r="B9" s="276">
        <f>Data!C82</f>
        <v>52</v>
      </c>
      <c r="C9" s="257">
        <f>Data!D82</f>
        <v>7</v>
      </c>
      <c r="D9" s="257">
        <f>Data!E82</f>
        <v>6</v>
      </c>
      <c r="E9" s="257">
        <f>Data!F82</f>
        <v>7</v>
      </c>
      <c r="F9" s="277">
        <f t="shared" ref="F9" si="4">SUM(B9:E9)</f>
        <v>72</v>
      </c>
      <c r="G9" s="257"/>
      <c r="H9" s="79"/>
      <c r="I9" s="257"/>
      <c r="J9" s="257"/>
      <c r="K9" s="257"/>
      <c r="L9" s="257"/>
      <c r="M9" s="257"/>
      <c r="N9" s="257"/>
      <c r="O9" s="79"/>
      <c r="P9" s="257"/>
      <c r="Q9" s="257"/>
      <c r="R9" s="257"/>
      <c r="S9" s="257"/>
      <c r="T9" s="257"/>
    </row>
    <row r="10" spans="1:20" x14ac:dyDescent="0.3">
      <c r="A10" s="79">
        <f t="shared" si="1"/>
        <v>44748</v>
      </c>
      <c r="B10" s="276"/>
      <c r="C10" s="257"/>
      <c r="D10" s="257"/>
      <c r="E10" s="257"/>
      <c r="F10" s="277"/>
      <c r="G10" s="257"/>
      <c r="H10" s="79"/>
      <c r="I10" s="257"/>
      <c r="J10" s="257"/>
      <c r="K10" s="257"/>
      <c r="L10" s="257"/>
      <c r="M10" s="257"/>
      <c r="N10" s="257"/>
      <c r="O10" s="79"/>
      <c r="P10" s="257"/>
      <c r="Q10" s="257"/>
      <c r="R10" s="257"/>
      <c r="S10" s="257"/>
      <c r="T10" s="257"/>
    </row>
    <row r="11" spans="1:20" x14ac:dyDescent="0.3">
      <c r="A11" s="79">
        <f t="shared" si="1"/>
        <v>44779</v>
      </c>
      <c r="B11" s="276"/>
      <c r="C11" s="257"/>
      <c r="D11" s="257"/>
      <c r="E11" s="257"/>
      <c r="F11" s="277"/>
      <c r="G11" s="257"/>
      <c r="H11" s="79"/>
      <c r="I11" s="257"/>
      <c r="J11" s="257"/>
      <c r="K11" s="257"/>
      <c r="L11" s="257"/>
      <c r="M11" s="257"/>
      <c r="N11" s="257"/>
      <c r="O11" s="79"/>
      <c r="P11" s="257"/>
      <c r="Q11" s="257"/>
      <c r="R11" s="257"/>
      <c r="S11" s="257"/>
      <c r="T11" s="257"/>
    </row>
    <row r="12" spans="1:20" x14ac:dyDescent="0.3">
      <c r="A12" s="79">
        <f t="shared" si="1"/>
        <v>44810</v>
      </c>
      <c r="B12" s="276"/>
      <c r="C12" s="257"/>
      <c r="D12" s="257"/>
      <c r="E12" s="257"/>
      <c r="F12" s="277"/>
      <c r="G12" s="257"/>
      <c r="H12" s="79"/>
      <c r="I12" s="257"/>
      <c r="J12" s="257"/>
      <c r="K12" s="257"/>
      <c r="L12" s="257"/>
      <c r="M12" s="257"/>
      <c r="N12" s="257"/>
      <c r="O12" s="79"/>
      <c r="P12" s="257"/>
      <c r="Q12" s="257"/>
      <c r="R12" s="257"/>
      <c r="S12" s="257"/>
      <c r="T12" s="257"/>
    </row>
    <row r="13" spans="1:20" x14ac:dyDescent="0.3">
      <c r="A13" s="79">
        <f t="shared" si="1"/>
        <v>44841</v>
      </c>
      <c r="B13" s="276"/>
      <c r="C13" s="257"/>
      <c r="D13" s="257"/>
      <c r="E13" s="257"/>
      <c r="F13" s="277"/>
      <c r="G13" s="257"/>
      <c r="H13" s="79"/>
      <c r="I13" s="257"/>
      <c r="J13" s="257"/>
      <c r="K13" s="257"/>
      <c r="L13" s="257"/>
      <c r="M13" s="257"/>
      <c r="N13" s="257"/>
      <c r="O13" s="79"/>
      <c r="P13" s="257"/>
      <c r="Q13" s="257"/>
      <c r="R13" s="257"/>
      <c r="S13" s="257"/>
      <c r="T13" s="257"/>
    </row>
    <row r="14" spans="1:20" x14ac:dyDescent="0.3">
      <c r="A14" s="79">
        <f t="shared" si="1"/>
        <v>44872</v>
      </c>
      <c r="B14" s="276"/>
      <c r="C14" s="257"/>
      <c r="D14" s="257"/>
      <c r="E14" s="257"/>
      <c r="F14" s="277"/>
      <c r="G14" s="257"/>
      <c r="H14" s="79"/>
      <c r="I14" s="257"/>
      <c r="J14" s="257"/>
      <c r="K14" s="257"/>
      <c r="L14" s="257"/>
      <c r="M14" s="257"/>
      <c r="N14" s="257"/>
      <c r="O14" s="79"/>
      <c r="P14" s="257"/>
      <c r="Q14" s="257"/>
      <c r="R14" s="257"/>
      <c r="S14" s="257"/>
      <c r="T14" s="257"/>
    </row>
    <row r="15" spans="1:20" ht="17.25" thickBot="1" x14ac:dyDescent="0.35">
      <c r="A15" s="79">
        <f t="shared" si="1"/>
        <v>44903</v>
      </c>
      <c r="B15" s="278"/>
      <c r="C15" s="279"/>
      <c r="D15" s="279"/>
      <c r="E15" s="279"/>
      <c r="F15" s="280"/>
      <c r="G15" s="257"/>
      <c r="H15" s="79"/>
      <c r="I15" s="257"/>
      <c r="J15" s="257"/>
      <c r="K15" s="257"/>
      <c r="L15" s="257"/>
      <c r="M15" s="257"/>
      <c r="N15" s="257"/>
      <c r="O15" s="79"/>
      <c r="P15" s="257"/>
      <c r="Q15" s="257"/>
      <c r="R15" s="257"/>
      <c r="S15" s="257"/>
      <c r="T15" s="257"/>
    </row>
    <row r="16" spans="1:20" s="283" customFormat="1" x14ac:dyDescent="0.3">
      <c r="A16" s="281" t="s">
        <v>143</v>
      </c>
      <c r="B16" s="282">
        <f>AVERAGE(B4:B15)</f>
        <v>55.5</v>
      </c>
      <c r="C16" s="282">
        <f>AVERAGE(C4:C15)</f>
        <v>8.3333333333333339</v>
      </c>
      <c r="D16" s="282">
        <f>AVERAGE(D4:D15)</f>
        <v>4</v>
      </c>
      <c r="E16" s="282">
        <f>AVERAGE(E4:E15)</f>
        <v>7</v>
      </c>
      <c r="F16" s="282">
        <f>AVERAGE(F4:F15)</f>
        <v>74.833333333333329</v>
      </c>
      <c r="G16" s="282"/>
      <c r="H16" s="281"/>
      <c r="I16" s="282"/>
      <c r="J16" s="282"/>
      <c r="K16" s="282"/>
      <c r="L16" s="282"/>
      <c r="M16" s="282"/>
      <c r="N16" s="282"/>
      <c r="O16" s="281"/>
      <c r="P16" s="282"/>
      <c r="Q16" s="282"/>
      <c r="R16" s="282"/>
      <c r="S16" s="282"/>
      <c r="T16" s="282"/>
    </row>
    <row r="18" spans="1:14" s="283" customFormat="1" x14ac:dyDescent="0.3">
      <c r="A18" s="281" t="s">
        <v>150</v>
      </c>
      <c r="B18" s="287"/>
      <c r="C18" s="287"/>
      <c r="D18" s="287"/>
      <c r="E18" s="287"/>
      <c r="F18" s="287"/>
      <c r="G18" s="287"/>
      <c r="J18" s="281" t="s">
        <v>215</v>
      </c>
      <c r="K18" s="287"/>
      <c r="L18" s="287"/>
      <c r="M18" s="287"/>
      <c r="N18" s="287"/>
    </row>
    <row r="19" spans="1:14" x14ac:dyDescent="0.3">
      <c r="J19" s="79"/>
      <c r="K19" s="256"/>
      <c r="L19" s="256"/>
      <c r="M19" s="256"/>
      <c r="N19" s="256"/>
    </row>
    <row r="20" spans="1:14" s="283" customFormat="1" ht="33.75" thickBot="1" x14ac:dyDescent="0.35">
      <c r="A20" s="284"/>
      <c r="B20" s="285" t="s">
        <v>140</v>
      </c>
      <c r="C20" s="285" t="s">
        <v>141</v>
      </c>
      <c r="D20" s="285" t="s">
        <v>142</v>
      </c>
      <c r="E20" s="285" t="s">
        <v>130</v>
      </c>
      <c r="F20" s="285" t="s">
        <v>179</v>
      </c>
      <c r="G20" s="285" t="s">
        <v>96</v>
      </c>
      <c r="H20" s="285" t="s">
        <v>180</v>
      </c>
      <c r="I20" s="285"/>
      <c r="J20" s="284"/>
      <c r="K20" s="393" t="s">
        <v>148</v>
      </c>
      <c r="L20" s="285" t="s">
        <v>145</v>
      </c>
      <c r="M20" s="285" t="s">
        <v>146</v>
      </c>
    </row>
    <row r="21" spans="1:14" x14ac:dyDescent="0.3">
      <c r="A21" s="79">
        <f>A4</f>
        <v>44562</v>
      </c>
      <c r="B21" s="288">
        <f>SUMPRODUCT(Data!C77:N77,Data!R77:AC77)</f>
        <v>1949.9999999999998</v>
      </c>
      <c r="C21" s="289">
        <f>SUMPRODUCT(Data!C77:N77,Data!AD77:AO77)</f>
        <v>25387.960000000003</v>
      </c>
      <c r="D21" s="289">
        <f>SUMPRODUCT(Data!C77:N77,Data!AP77:BA77)</f>
        <v>4030.8599999999997</v>
      </c>
      <c r="E21" s="289">
        <f>SUMPRODUCT(Data!C77:N77,Data!BB77:BM77)</f>
        <v>38819.94</v>
      </c>
      <c r="F21" s="289">
        <f>SUM(B21:E21)</f>
        <v>70188.760000000009</v>
      </c>
      <c r="G21" s="289">
        <f>SUMPRODUCT(Data!C77:F77,Data!BZ77:CC77)</f>
        <v>-29401.499999999996</v>
      </c>
      <c r="H21" s="290">
        <f>F21+G21</f>
        <v>40787.260000000009</v>
      </c>
      <c r="I21" s="258"/>
      <c r="J21" s="79">
        <f>A4</f>
        <v>44562</v>
      </c>
      <c r="K21" s="288">
        <f>Data!CL77+(-L21)</f>
        <v>110526.37</v>
      </c>
      <c r="L21" s="289">
        <f>Data!CN77</f>
        <v>-6884.42</v>
      </c>
      <c r="M21" s="290">
        <f>K21+L21</f>
        <v>103641.95</v>
      </c>
    </row>
    <row r="22" spans="1:14" x14ac:dyDescent="0.3">
      <c r="A22" s="79">
        <f>31+A21</f>
        <v>44593</v>
      </c>
      <c r="B22" s="291">
        <f>SUMPRODUCT(Data!C78:N78,Data!R78:AC78)</f>
        <v>2051.5499999999997</v>
      </c>
      <c r="C22" s="258">
        <f>SUMPRODUCT(Data!C78:N78,Data!AD78:AO78)</f>
        <v>26710.010000000002</v>
      </c>
      <c r="D22" s="258">
        <f>SUMPRODUCT(Data!C78:N78,Data!AP78:BA78)</f>
        <v>4240.7599999999993</v>
      </c>
      <c r="E22" s="258">
        <f>SUMPRODUCT(Data!C78:N78,Data!BB78:BM78)</f>
        <v>40841.439999999995</v>
      </c>
      <c r="F22" s="258">
        <f t="shared" ref="F22:F23" si="5">SUM(B22:E22)</f>
        <v>73843.759999999995</v>
      </c>
      <c r="G22" s="258">
        <f>SUMPRODUCT(Data!C78:F78,Data!BZ78:CC78)</f>
        <v>-30918.149999999998</v>
      </c>
      <c r="H22" s="292">
        <f t="shared" ref="H22:H23" si="6">F22+G22</f>
        <v>42925.61</v>
      </c>
      <c r="I22" s="258"/>
      <c r="J22" s="79">
        <f>31+J21</f>
        <v>44593</v>
      </c>
      <c r="K22" s="291">
        <f>Data!CL78+(-L22)</f>
        <v>54494.1</v>
      </c>
      <c r="L22" s="258">
        <f>Data!CN78</f>
        <v>-24438.629999999997</v>
      </c>
      <c r="M22" s="292">
        <f t="shared" ref="M22:M23" si="7">K22+L22</f>
        <v>30055.47</v>
      </c>
    </row>
    <row r="23" spans="1:14" x14ac:dyDescent="0.3">
      <c r="A23" s="79">
        <f t="shared" ref="A23:A32" si="8">31+A22</f>
        <v>44624</v>
      </c>
      <c r="B23" s="291">
        <f>SUMPRODUCT(Data!C79:N79,Data!R79:AC79)</f>
        <v>1955.9799999999998</v>
      </c>
      <c r="C23" s="258">
        <f>SUMPRODUCT(Data!C79:N79,Data!AD79:AO79)</f>
        <v>25465.18</v>
      </c>
      <c r="D23" s="258">
        <f>SUMPRODUCT(Data!C79:N79,Data!AP79:BA79)</f>
        <v>4043.1199999999994</v>
      </c>
      <c r="E23" s="258">
        <f>SUMPRODUCT(Data!C79:N79,Data!BB79:BM79)</f>
        <v>38938.020000000004</v>
      </c>
      <c r="F23" s="258">
        <f t="shared" si="5"/>
        <v>70402.3</v>
      </c>
      <c r="G23" s="258">
        <f>SUMPRODUCT(Data!C79:F79,Data!BZ79:CC79)</f>
        <v>-29340.819999999996</v>
      </c>
      <c r="H23" s="292">
        <f t="shared" si="6"/>
        <v>41061.48000000001</v>
      </c>
      <c r="I23" s="258"/>
      <c r="J23" s="79">
        <f t="shared" ref="J23:J32" si="9">31+J22</f>
        <v>44624</v>
      </c>
      <c r="K23" s="291">
        <f>Data!CL79+(-L23)</f>
        <v>139449.25</v>
      </c>
      <c r="L23" s="258">
        <f>Data!CN79</f>
        <v>-48652.04</v>
      </c>
      <c r="M23" s="292">
        <f t="shared" si="7"/>
        <v>90797.209999999992</v>
      </c>
    </row>
    <row r="24" spans="1:14" x14ac:dyDescent="0.3">
      <c r="A24" s="79">
        <f t="shared" si="8"/>
        <v>44655</v>
      </c>
      <c r="B24" s="291">
        <f>SUMPRODUCT(Data!C80:N80,Data!R80:AC80)</f>
        <v>1924.66</v>
      </c>
      <c r="C24" s="258">
        <f>SUMPRODUCT(Data!C80:N80,Data!AD80:AO80)</f>
        <v>25055.9</v>
      </c>
      <c r="D24" s="258">
        <f>SUMPRODUCT(Data!C80:N80,Data!AP80:BA80)</f>
        <v>3978.1499999999996</v>
      </c>
      <c r="E24" s="258">
        <f>SUMPRODUCT(Data!C80:N80,Data!BB80:BM80)</f>
        <v>38312.22</v>
      </c>
      <c r="F24" s="258">
        <f t="shared" ref="F24" si="10">SUM(B24:E24)</f>
        <v>69270.929999999993</v>
      </c>
      <c r="G24" s="258">
        <f>SUMPRODUCT(Data!C80:F80,Data!BZ80:CC80)</f>
        <v>-28851.17</v>
      </c>
      <c r="H24" s="292">
        <f t="shared" ref="H24" si="11">F24+G24</f>
        <v>40419.759999999995</v>
      </c>
      <c r="I24" s="258"/>
      <c r="J24" s="79">
        <f t="shared" si="9"/>
        <v>44655</v>
      </c>
      <c r="K24" s="291">
        <f>Data!CL80+(-L24)</f>
        <v>13709.47</v>
      </c>
      <c r="L24" s="258">
        <f>Data!CN80</f>
        <v>0</v>
      </c>
      <c r="M24" s="292">
        <f t="shared" ref="M24" si="12">K24+L24</f>
        <v>13709.47</v>
      </c>
    </row>
    <row r="25" spans="1:14" x14ac:dyDescent="0.3">
      <c r="A25" s="79">
        <f t="shared" si="8"/>
        <v>44686</v>
      </c>
      <c r="B25" s="291">
        <f>SUMPRODUCT(Data!C81:N81,Data!R81:AC81)</f>
        <v>2030.22</v>
      </c>
      <c r="C25" s="258">
        <f>SUMPRODUCT(Data!C81:N81,Data!AD81:AO81)</f>
        <v>26431.08</v>
      </c>
      <c r="D25" s="258">
        <f>SUMPRODUCT(Data!C81:N81,Data!AP81:BA81)</f>
        <v>4196.4799999999996</v>
      </c>
      <c r="E25" s="258">
        <f>SUMPRODUCT(Data!C81:N81,Data!BB81:BM81)</f>
        <v>40414.949999999997</v>
      </c>
      <c r="F25" s="258">
        <f t="shared" ref="F25" si="13">SUM(B25:E25)</f>
        <v>73072.73</v>
      </c>
      <c r="G25" s="258">
        <f>SUMPRODUCT(Data!C81:F81,Data!BZ81:CC81)</f>
        <v>-30476.149999999998</v>
      </c>
      <c r="H25" s="292">
        <f t="shared" ref="H25" si="14">F25+G25</f>
        <v>42596.58</v>
      </c>
      <c r="I25" s="258"/>
      <c r="J25" s="79">
        <f t="shared" si="9"/>
        <v>44686</v>
      </c>
      <c r="K25" s="291">
        <f>Data!CL81+(-L25)</f>
        <v>175869.74</v>
      </c>
      <c r="L25" s="258">
        <f>Data!CN81</f>
        <v>-86214.12999999999</v>
      </c>
      <c r="M25" s="292">
        <f t="shared" ref="M25" si="15">K25+L25</f>
        <v>89655.61</v>
      </c>
    </row>
    <row r="26" spans="1:14" x14ac:dyDescent="0.3">
      <c r="A26" s="79">
        <f t="shared" si="8"/>
        <v>44717</v>
      </c>
      <c r="B26" s="291">
        <f>SUMPRODUCT(Data!C82:N82,Data!R82:AC82)</f>
        <v>1917.66</v>
      </c>
      <c r="C26" s="258">
        <f>SUMPRODUCT(Data!C82:N82,Data!AD82:AO82)</f>
        <v>24964.16</v>
      </c>
      <c r="D26" s="258">
        <f>SUMPRODUCT(Data!C82:N82,Data!AP82:BA82)</f>
        <v>3963.59</v>
      </c>
      <c r="E26" s="258">
        <f>SUMPRODUCT(Data!C82:N82,Data!BB82:BM82)</f>
        <v>38171.950000000004</v>
      </c>
      <c r="F26" s="258">
        <f t="shared" ref="F26" si="16">SUM(B26:E26)</f>
        <v>69017.36</v>
      </c>
      <c r="G26" s="258">
        <f>SUMPRODUCT(Data!C82:F82,Data!BZ82:CC82)</f>
        <v>-28773.18</v>
      </c>
      <c r="H26" s="292">
        <f t="shared" ref="H26" si="17">F26+G26</f>
        <v>40244.18</v>
      </c>
      <c r="I26" s="258"/>
      <c r="J26" s="79">
        <f t="shared" si="9"/>
        <v>44717</v>
      </c>
      <c r="K26" s="291">
        <f>Data!CL82+(-L26)</f>
        <v>91412.93</v>
      </c>
      <c r="L26" s="258">
        <f>Data!CN82</f>
        <v>-67078.539999999994</v>
      </c>
      <c r="M26" s="292">
        <f t="shared" ref="M26" si="18">K26+L26</f>
        <v>24334.39</v>
      </c>
    </row>
    <row r="27" spans="1:14" x14ac:dyDescent="0.3">
      <c r="A27" s="79">
        <f t="shared" si="8"/>
        <v>44748</v>
      </c>
      <c r="B27" s="291"/>
      <c r="C27" s="258"/>
      <c r="D27" s="258"/>
      <c r="E27" s="258"/>
      <c r="F27" s="258"/>
      <c r="G27" s="258"/>
      <c r="H27" s="292"/>
      <c r="I27" s="258"/>
      <c r="J27" s="79">
        <f t="shared" si="9"/>
        <v>44748</v>
      </c>
      <c r="K27" s="291"/>
      <c r="L27" s="258"/>
      <c r="M27" s="292"/>
    </row>
    <row r="28" spans="1:14" x14ac:dyDescent="0.3">
      <c r="A28" s="79">
        <f t="shared" si="8"/>
        <v>44779</v>
      </c>
      <c r="B28" s="291"/>
      <c r="C28" s="258"/>
      <c r="D28" s="258"/>
      <c r="E28" s="258"/>
      <c r="F28" s="258"/>
      <c r="G28" s="258"/>
      <c r="H28" s="292"/>
      <c r="I28" s="258"/>
      <c r="J28" s="79">
        <f t="shared" si="9"/>
        <v>44779</v>
      </c>
      <c r="K28" s="291"/>
      <c r="L28" s="258"/>
      <c r="M28" s="292"/>
    </row>
    <row r="29" spans="1:14" x14ac:dyDescent="0.3">
      <c r="A29" s="79">
        <f t="shared" si="8"/>
        <v>44810</v>
      </c>
      <c r="B29" s="291"/>
      <c r="C29" s="258"/>
      <c r="D29" s="258"/>
      <c r="E29" s="258"/>
      <c r="F29" s="258"/>
      <c r="G29" s="258"/>
      <c r="H29" s="292"/>
      <c r="I29" s="258"/>
      <c r="J29" s="79">
        <f t="shared" si="9"/>
        <v>44810</v>
      </c>
      <c r="K29" s="291"/>
      <c r="L29" s="258"/>
      <c r="M29" s="292"/>
    </row>
    <row r="30" spans="1:14" x14ac:dyDescent="0.3">
      <c r="A30" s="79">
        <f t="shared" si="8"/>
        <v>44841</v>
      </c>
      <c r="B30" s="291"/>
      <c r="C30" s="258"/>
      <c r="D30" s="258"/>
      <c r="E30" s="258"/>
      <c r="F30" s="258"/>
      <c r="G30" s="258"/>
      <c r="H30" s="292"/>
      <c r="I30" s="258"/>
      <c r="J30" s="79">
        <f t="shared" si="9"/>
        <v>44841</v>
      </c>
      <c r="K30" s="291"/>
      <c r="L30" s="258"/>
      <c r="M30" s="292"/>
    </row>
    <row r="31" spans="1:14" x14ac:dyDescent="0.3">
      <c r="A31" s="79">
        <f t="shared" si="8"/>
        <v>44872</v>
      </c>
      <c r="B31" s="291"/>
      <c r="C31" s="258"/>
      <c r="D31" s="258"/>
      <c r="E31" s="258"/>
      <c r="F31" s="258"/>
      <c r="G31" s="258"/>
      <c r="H31" s="292"/>
      <c r="I31" s="258"/>
      <c r="J31" s="79">
        <f t="shared" si="9"/>
        <v>44872</v>
      </c>
      <c r="K31" s="291"/>
      <c r="L31" s="258"/>
      <c r="M31" s="292"/>
    </row>
    <row r="32" spans="1:14" ht="17.25" thickBot="1" x14ac:dyDescent="0.35">
      <c r="A32" s="79">
        <f t="shared" si="8"/>
        <v>44903</v>
      </c>
      <c r="B32" s="293"/>
      <c r="C32" s="294"/>
      <c r="D32" s="294"/>
      <c r="E32" s="294"/>
      <c r="F32" s="294"/>
      <c r="G32" s="294"/>
      <c r="H32" s="295"/>
      <c r="I32" s="258"/>
      <c r="J32" s="79">
        <f t="shared" si="9"/>
        <v>44903</v>
      </c>
      <c r="K32" s="293"/>
      <c r="L32" s="294"/>
      <c r="M32" s="295"/>
    </row>
    <row r="33" spans="1:13" s="283" customFormat="1" x14ac:dyDescent="0.3">
      <c r="A33" s="281" t="s">
        <v>138</v>
      </c>
      <c r="B33" s="297">
        <f>SUM(B21:B32)</f>
        <v>11830.069999999998</v>
      </c>
      <c r="C33" s="297">
        <f t="shared" ref="C33:H33" si="19">SUM(C21:C32)</f>
        <v>154014.28999999998</v>
      </c>
      <c r="D33" s="297">
        <f t="shared" si="19"/>
        <v>24452.959999999995</v>
      </c>
      <c r="E33" s="297">
        <f t="shared" si="19"/>
        <v>235498.52000000002</v>
      </c>
      <c r="F33" s="297">
        <f t="shared" si="19"/>
        <v>425795.83999999997</v>
      </c>
      <c r="G33" s="297">
        <f t="shared" si="19"/>
        <v>-177760.96999999997</v>
      </c>
      <c r="H33" s="297">
        <f t="shared" si="19"/>
        <v>248034.87</v>
      </c>
      <c r="I33" s="297"/>
      <c r="J33" s="281" t="s">
        <v>138</v>
      </c>
      <c r="K33" s="297">
        <f>SUM(K21:K32)</f>
        <v>585461.85999999987</v>
      </c>
      <c r="L33" s="297">
        <f>SUM(L21:L32)</f>
        <v>-233267.75999999995</v>
      </c>
      <c r="M33" s="297">
        <f>SUM(M21:M32)</f>
        <v>352194.1</v>
      </c>
    </row>
    <row r="34" spans="1:13" x14ac:dyDescent="0.3">
      <c r="F34" s="432"/>
    </row>
    <row r="36" spans="1:13" s="283" customFormat="1" x14ac:dyDescent="0.3">
      <c r="A36" s="281" t="s">
        <v>144</v>
      </c>
      <c r="B36" s="287"/>
      <c r="C36" s="287"/>
      <c r="D36" s="287"/>
      <c r="E36" s="287"/>
    </row>
    <row r="38" spans="1:13" s="286" customFormat="1" ht="33.75" thickBot="1" x14ac:dyDescent="0.35">
      <c r="A38" s="284"/>
      <c r="B38" s="393" t="s">
        <v>146</v>
      </c>
      <c r="C38" s="221" t="s">
        <v>147</v>
      </c>
      <c r="D38" s="393" t="s">
        <v>131</v>
      </c>
      <c r="E38" s="393"/>
      <c r="F38" s="397"/>
      <c r="G38" s="397"/>
      <c r="H38" s="398"/>
      <c r="I38" s="434" t="s">
        <v>198</v>
      </c>
    </row>
    <row r="39" spans="1:13" ht="17.25" thickBot="1" x14ac:dyDescent="0.35">
      <c r="A39" s="79">
        <f>A4</f>
        <v>44562</v>
      </c>
      <c r="B39" s="288">
        <f>M21</f>
        <v>103641.95</v>
      </c>
      <c r="C39" s="289">
        <f>E21</f>
        <v>38819.94</v>
      </c>
      <c r="D39" s="298">
        <f t="shared" ref="D39:D44" si="20">C39-B39</f>
        <v>-64822.009999999995</v>
      </c>
      <c r="E39" s="261"/>
      <c r="F39" s="399"/>
      <c r="G39" s="399"/>
      <c r="H39" s="400"/>
      <c r="I39" s="434"/>
    </row>
    <row r="40" spans="1:13" ht="17.25" thickBot="1" x14ac:dyDescent="0.35">
      <c r="A40" s="79">
        <f>31+A39</f>
        <v>44593</v>
      </c>
      <c r="B40" s="291">
        <f t="shared" ref="B40:B42" si="21">M22</f>
        <v>30055.47</v>
      </c>
      <c r="C40" s="258">
        <f t="shared" ref="C40:C41" si="22">E22</f>
        <v>40841.439999999995</v>
      </c>
      <c r="D40" s="299">
        <f t="shared" si="20"/>
        <v>10785.969999999994</v>
      </c>
      <c r="E40" s="261"/>
      <c r="F40" s="401" t="s">
        <v>68</v>
      </c>
      <c r="G40" s="402" t="s">
        <v>131</v>
      </c>
      <c r="H40" s="290">
        <f>D51</f>
        <v>-116695.57999999999</v>
      </c>
      <c r="I40" s="414"/>
    </row>
    <row r="41" spans="1:13" x14ac:dyDescent="0.3">
      <c r="A41" s="79">
        <f t="shared" ref="A41:A50" si="23">31+A40</f>
        <v>44624</v>
      </c>
      <c r="B41" s="291">
        <f t="shared" si="21"/>
        <v>90797.209999999992</v>
      </c>
      <c r="C41" s="258">
        <f t="shared" si="22"/>
        <v>38938.020000000004</v>
      </c>
      <c r="D41" s="299">
        <f t="shared" si="20"/>
        <v>-51859.189999999988</v>
      </c>
      <c r="E41" s="261"/>
      <c r="F41" s="403" t="s">
        <v>69</v>
      </c>
      <c r="G41" s="404" t="s">
        <v>199</v>
      </c>
      <c r="H41" s="292">
        <f>(25%*C49)</f>
        <v>0</v>
      </c>
      <c r="I41" s="208"/>
    </row>
    <row r="42" spans="1:13" ht="17.25" thickBot="1" x14ac:dyDescent="0.35">
      <c r="A42" s="79">
        <f t="shared" si="23"/>
        <v>44655</v>
      </c>
      <c r="B42" s="291">
        <f t="shared" si="21"/>
        <v>13709.47</v>
      </c>
      <c r="C42" s="258">
        <f t="shared" ref="C42" si="24">E24</f>
        <v>38312.22</v>
      </c>
      <c r="D42" s="299">
        <f t="shared" si="20"/>
        <v>24602.75</v>
      </c>
      <c r="E42" s="261"/>
      <c r="F42" s="403" t="s">
        <v>70</v>
      </c>
      <c r="G42" s="404" t="s">
        <v>200</v>
      </c>
      <c r="H42" s="292">
        <f>50%*C50</f>
        <v>0</v>
      </c>
      <c r="I42" s="208"/>
    </row>
    <row r="43" spans="1:13" ht="17.25" thickBot="1" x14ac:dyDescent="0.35">
      <c r="A43" s="79">
        <f t="shared" si="23"/>
        <v>44686</v>
      </c>
      <c r="B43" s="291">
        <f t="shared" ref="B43" si="25">M25</f>
        <v>89655.61</v>
      </c>
      <c r="C43" s="258">
        <f t="shared" ref="C43" si="26">E25</f>
        <v>40414.949999999997</v>
      </c>
      <c r="D43" s="299">
        <f t="shared" si="20"/>
        <v>-49240.66</v>
      </c>
      <c r="E43" s="261"/>
      <c r="F43" s="403" t="s">
        <v>201</v>
      </c>
      <c r="G43" s="404" t="s">
        <v>202</v>
      </c>
      <c r="H43" s="292">
        <f>H41+H42</f>
        <v>0</v>
      </c>
      <c r="I43" s="414"/>
    </row>
    <row r="44" spans="1:13" x14ac:dyDescent="0.3">
      <c r="A44" s="79">
        <f t="shared" si="23"/>
        <v>44717</v>
      </c>
      <c r="B44" s="291">
        <f t="shared" ref="B44" si="27">M26</f>
        <v>24334.39</v>
      </c>
      <c r="C44" s="258">
        <f t="shared" ref="C44" si="28">E26</f>
        <v>38171.950000000004</v>
      </c>
      <c r="D44" s="299">
        <f t="shared" si="20"/>
        <v>13837.560000000005</v>
      </c>
      <c r="E44" s="261"/>
      <c r="F44" s="403"/>
      <c r="G44" s="404"/>
      <c r="H44" s="292"/>
      <c r="I44" s="377"/>
    </row>
    <row r="45" spans="1:13" x14ac:dyDescent="0.3">
      <c r="A45" s="79">
        <f t="shared" si="23"/>
        <v>44748</v>
      </c>
      <c r="B45" s="291"/>
      <c r="C45" s="258"/>
      <c r="D45" s="299"/>
      <c r="E45" s="261"/>
      <c r="F45" s="403" t="s">
        <v>203</v>
      </c>
      <c r="G45" s="404" t="s">
        <v>204</v>
      </c>
      <c r="H45" s="292">
        <f>H40-H43</f>
        <v>-116695.57999999999</v>
      </c>
      <c r="I45" s="377">
        <f>I40-I43</f>
        <v>0</v>
      </c>
    </row>
    <row r="46" spans="1:13" ht="17.25" thickBot="1" x14ac:dyDescent="0.35">
      <c r="A46" s="79">
        <f t="shared" si="23"/>
        <v>44779</v>
      </c>
      <c r="B46" s="291"/>
      <c r="C46" s="258"/>
      <c r="D46" s="299"/>
      <c r="E46" s="261"/>
      <c r="F46" s="403" t="s">
        <v>205</v>
      </c>
      <c r="G46" s="404" t="s">
        <v>206</v>
      </c>
      <c r="H46" s="405">
        <v>0.5</v>
      </c>
      <c r="I46" s="406">
        <v>0.5</v>
      </c>
    </row>
    <row r="47" spans="1:13" ht="17.25" thickBot="1" x14ac:dyDescent="0.35">
      <c r="A47" s="79">
        <f t="shared" si="23"/>
        <v>44810</v>
      </c>
      <c r="B47" s="291"/>
      <c r="C47" s="258"/>
      <c r="D47" s="299"/>
      <c r="E47" s="261"/>
      <c r="F47" s="407" t="s">
        <v>207</v>
      </c>
      <c r="G47" s="408" t="s">
        <v>208</v>
      </c>
      <c r="H47" s="410">
        <f>H45*H46</f>
        <v>-58347.789999999994</v>
      </c>
      <c r="I47" s="227">
        <v>0</v>
      </c>
    </row>
    <row r="48" spans="1:13" x14ac:dyDescent="0.3">
      <c r="A48" s="79">
        <f t="shared" si="23"/>
        <v>44841</v>
      </c>
      <c r="B48" s="291"/>
      <c r="C48" s="258"/>
      <c r="D48" s="299"/>
      <c r="E48" s="261"/>
      <c r="F48" s="409"/>
      <c r="G48" s="409"/>
      <c r="H48" s="409"/>
      <c r="I48" s="400"/>
    </row>
    <row r="49" spans="1:14" ht="16.5" customHeight="1" x14ac:dyDescent="0.3">
      <c r="A49" s="79">
        <f t="shared" si="23"/>
        <v>44872</v>
      </c>
      <c r="B49" s="291"/>
      <c r="C49" s="258"/>
      <c r="D49" s="299"/>
      <c r="E49" s="261"/>
      <c r="F49" s="435" t="s">
        <v>212</v>
      </c>
      <c r="G49" s="435"/>
      <c r="H49" s="435"/>
      <c r="I49" s="435"/>
    </row>
    <row r="50" spans="1:14" ht="17.25" thickBot="1" x14ac:dyDescent="0.35">
      <c r="A50" s="79">
        <f t="shared" si="23"/>
        <v>44903</v>
      </c>
      <c r="B50" s="293"/>
      <c r="C50" s="294"/>
      <c r="D50" s="300"/>
      <c r="E50" s="261"/>
      <c r="F50" s="435"/>
      <c r="G50" s="435"/>
      <c r="H50" s="435"/>
      <c r="I50" s="435"/>
    </row>
    <row r="51" spans="1:14" s="283" customFormat="1" ht="17.25" thickBot="1" x14ac:dyDescent="0.35">
      <c r="A51" s="281" t="s">
        <v>138</v>
      </c>
      <c r="B51" s="297">
        <f>SUM(B39:B50)</f>
        <v>352194.1</v>
      </c>
      <c r="C51" s="297">
        <f>SUM(C39:C50)</f>
        <v>235498.52000000002</v>
      </c>
      <c r="D51" s="310">
        <f>SUM(D39:D50)</f>
        <v>-116695.57999999999</v>
      </c>
      <c r="E51" s="301"/>
    </row>
    <row r="52" spans="1:14" s="283" customFormat="1" ht="17.25" thickBot="1" x14ac:dyDescent="0.35">
      <c r="A52" s="411" t="s">
        <v>209</v>
      </c>
      <c r="B52" s="412"/>
      <c r="C52" s="412"/>
      <c r="D52" s="413"/>
      <c r="E52" s="301"/>
    </row>
    <row r="53" spans="1:14" x14ac:dyDescent="0.3">
      <c r="B53" s="258"/>
      <c r="C53" s="258"/>
      <c r="D53" s="258"/>
      <c r="E53" s="258"/>
      <c r="F53" s="258"/>
      <c r="G53" s="78"/>
      <c r="H53" s="79"/>
      <c r="I53" s="260"/>
      <c r="J53" s="260"/>
      <c r="K53" s="260"/>
      <c r="L53" s="349"/>
      <c r="M53" s="436"/>
      <c r="N53" s="436"/>
    </row>
    <row r="54" spans="1:14" x14ac:dyDescent="0.3">
      <c r="A54" s="283" t="s">
        <v>181</v>
      </c>
      <c r="B54" s="283"/>
      <c r="C54" s="283"/>
      <c r="D54" s="283"/>
      <c r="E54" s="283"/>
      <c r="F54" s="283"/>
      <c r="G54" s="283"/>
      <c r="H54" s="283"/>
      <c r="I54" s="283" t="s">
        <v>190</v>
      </c>
      <c r="J54" s="283"/>
      <c r="K54" s="283"/>
      <c r="L54" s="283"/>
      <c r="M54" s="283"/>
    </row>
    <row r="55" spans="1:14" x14ac:dyDescent="0.3">
      <c r="A55" s="78"/>
      <c r="B55" s="78"/>
      <c r="C55" s="78"/>
      <c r="D55" s="78"/>
      <c r="E55" s="78"/>
      <c r="F55" s="78"/>
      <c r="G55" s="78"/>
    </row>
    <row r="56" spans="1:14" ht="33.75" thickBot="1" x14ac:dyDescent="0.35">
      <c r="A56" s="284"/>
      <c r="B56" s="393" t="s">
        <v>182</v>
      </c>
      <c r="C56" s="221" t="s">
        <v>183</v>
      </c>
      <c r="D56" s="393" t="s">
        <v>184</v>
      </c>
      <c r="E56" s="285" t="s">
        <v>185</v>
      </c>
      <c r="F56" s="285" t="s">
        <v>186</v>
      </c>
      <c r="G56" s="285" t="s">
        <v>187</v>
      </c>
      <c r="H56" s="370"/>
      <c r="I56" s="286"/>
      <c r="J56" s="285" t="s">
        <v>191</v>
      </c>
      <c r="K56" s="285" t="s">
        <v>192</v>
      </c>
      <c r="L56" s="285" t="s">
        <v>113</v>
      </c>
      <c r="M56" s="285" t="s">
        <v>114</v>
      </c>
    </row>
    <row r="57" spans="1:14" x14ac:dyDescent="0.3">
      <c r="A57" s="79">
        <f>A4</f>
        <v>44562</v>
      </c>
      <c r="B57" s="288">
        <f t="shared" ref="B57:B62" si="29">(B4*1000)+((C4+D4+E4)*2000)</f>
        <v>93000</v>
      </c>
      <c r="C57" s="289">
        <f>Data!CO77</f>
        <v>410.1</v>
      </c>
      <c r="D57" s="363"/>
      <c r="E57" s="364">
        <f t="shared" ref="E57:E62" si="30">(3900*B4)+((C4+D4+E4)*7800)</f>
        <v>362700</v>
      </c>
      <c r="F57" s="364">
        <f>Data!CP77</f>
        <v>0</v>
      </c>
      <c r="G57" s="365"/>
      <c r="H57" s="371"/>
      <c r="I57" s="79">
        <f>A57</f>
        <v>44562</v>
      </c>
      <c r="J57" s="373">
        <f>SUMPRODUCT(Data!C77:F77,Data!BN77:BQ77)</f>
        <v>75516.47</v>
      </c>
      <c r="K57" s="364">
        <f t="shared" ref="K57:K62" si="31">F21+C57+F57</f>
        <v>70598.860000000015</v>
      </c>
      <c r="L57" s="386">
        <f>K57/J57</f>
        <v>0.93488029829784169</v>
      </c>
      <c r="M57" s="379">
        <f t="shared" ref="M57:M62" si="32">K57/F4</f>
        <v>967.1076712328769</v>
      </c>
    </row>
    <row r="58" spans="1:14" x14ac:dyDescent="0.3">
      <c r="A58" s="79">
        <f>A5</f>
        <v>44593</v>
      </c>
      <c r="B58" s="291">
        <f t="shared" si="29"/>
        <v>98000</v>
      </c>
      <c r="C58" s="258">
        <f>Data!CO78</f>
        <v>2570.81</v>
      </c>
      <c r="D58" s="361"/>
      <c r="E58" s="259">
        <f t="shared" si="30"/>
        <v>382200</v>
      </c>
      <c r="F58" s="259">
        <f>Data!CP78</f>
        <v>0</v>
      </c>
      <c r="G58" s="366"/>
      <c r="H58" s="371"/>
      <c r="I58" s="79">
        <f>A58</f>
        <v>44593</v>
      </c>
      <c r="J58" s="374">
        <f>SUMPRODUCT(Data!C78:F78,Data!BN78:BQ78)</f>
        <v>79457.919999999998</v>
      </c>
      <c r="K58" s="259">
        <f t="shared" si="31"/>
        <v>76414.569999999992</v>
      </c>
      <c r="L58" s="372">
        <f t="shared" ref="L58:L59" si="33">K58/J58</f>
        <v>0.96169859467753493</v>
      </c>
      <c r="M58" s="380">
        <f t="shared" si="32"/>
        <v>979.67397435897431</v>
      </c>
    </row>
    <row r="59" spans="1:14" x14ac:dyDescent="0.3">
      <c r="A59" s="79">
        <f t="shared" ref="A59:A68" si="34">31+A58</f>
        <v>44624</v>
      </c>
      <c r="B59" s="291">
        <f t="shared" si="29"/>
        <v>93000</v>
      </c>
      <c r="C59" s="258">
        <f>Data!CO79</f>
        <v>4503.5599999999995</v>
      </c>
      <c r="D59" s="361"/>
      <c r="E59" s="259">
        <f t="shared" si="30"/>
        <v>362700</v>
      </c>
      <c r="F59" s="259">
        <f>Data!CP79</f>
        <v>0</v>
      </c>
      <c r="G59" s="366"/>
      <c r="H59" s="371"/>
      <c r="I59" s="79">
        <f t="shared" ref="I59:I68" si="35">31+I58</f>
        <v>44624</v>
      </c>
      <c r="J59" s="374">
        <f>SUMPRODUCT(Data!C79:F79,Data!BN79:BQ79)</f>
        <v>75729.97</v>
      </c>
      <c r="K59" s="259">
        <f t="shared" si="31"/>
        <v>74905.86</v>
      </c>
      <c r="L59" s="372">
        <f t="shared" si="33"/>
        <v>0.98911778256349503</v>
      </c>
      <c r="M59" s="380">
        <f t="shared" si="32"/>
        <v>998.74480000000005</v>
      </c>
    </row>
    <row r="60" spans="1:14" x14ac:dyDescent="0.3">
      <c r="A60" s="79">
        <f t="shared" si="34"/>
        <v>44655</v>
      </c>
      <c r="B60" s="291">
        <f t="shared" si="29"/>
        <v>92000</v>
      </c>
      <c r="C60" s="258">
        <f>Data!CO80</f>
        <v>1599</v>
      </c>
      <c r="D60" s="361"/>
      <c r="E60" s="259">
        <f t="shared" si="30"/>
        <v>358800</v>
      </c>
      <c r="F60" s="259">
        <f>Data!CP80</f>
        <v>0</v>
      </c>
      <c r="G60" s="366"/>
      <c r="H60" s="371"/>
      <c r="I60" s="79">
        <f t="shared" si="35"/>
        <v>44655</v>
      </c>
      <c r="J60" s="374">
        <f>SUMPRODUCT(Data!C80:F80,Data!BN80:BQ80)</f>
        <v>74541.17</v>
      </c>
      <c r="K60" s="259">
        <f t="shared" si="31"/>
        <v>70869.929999999993</v>
      </c>
      <c r="L60" s="372">
        <f t="shared" ref="L60" si="36">K60/J60</f>
        <v>0.95074882779543168</v>
      </c>
      <c r="M60" s="380">
        <f t="shared" si="32"/>
        <v>970.82095890410949</v>
      </c>
    </row>
    <row r="61" spans="1:14" x14ac:dyDescent="0.3">
      <c r="A61" s="79">
        <f t="shared" si="34"/>
        <v>44686</v>
      </c>
      <c r="B61" s="291">
        <f t="shared" si="29"/>
        <v>97000</v>
      </c>
      <c r="C61" s="258">
        <f>Data!CO81</f>
        <v>1741.6599999999999</v>
      </c>
      <c r="D61" s="361"/>
      <c r="E61" s="259">
        <f t="shared" si="30"/>
        <v>378300</v>
      </c>
      <c r="F61" s="259">
        <f>Data!CP81</f>
        <v>0</v>
      </c>
      <c r="G61" s="366"/>
      <c r="H61" s="371"/>
      <c r="I61" s="79">
        <f t="shared" si="35"/>
        <v>44686</v>
      </c>
      <c r="J61" s="374">
        <f>SUMPRODUCT(Data!C81:F81,Data!BN81:BQ81)</f>
        <v>78629.5</v>
      </c>
      <c r="K61" s="259">
        <f t="shared" si="31"/>
        <v>74814.39</v>
      </c>
      <c r="L61" s="372">
        <f t="shared" ref="L61" si="37">K61/J61</f>
        <v>0.95147991529896536</v>
      </c>
      <c r="M61" s="380">
        <f t="shared" si="32"/>
        <v>959.15884615384618</v>
      </c>
    </row>
    <row r="62" spans="1:14" x14ac:dyDescent="0.3">
      <c r="A62" s="79">
        <f t="shared" si="34"/>
        <v>44717</v>
      </c>
      <c r="B62" s="291">
        <f t="shared" si="29"/>
        <v>92000</v>
      </c>
      <c r="C62" s="258">
        <f>Data!CO82</f>
        <v>3159.6800000000003</v>
      </c>
      <c r="D62" s="361"/>
      <c r="E62" s="259">
        <f t="shared" si="30"/>
        <v>358800</v>
      </c>
      <c r="F62" s="259">
        <f>Data!CP82</f>
        <v>3900</v>
      </c>
      <c r="G62" s="366"/>
      <c r="H62" s="371"/>
      <c r="I62" s="79">
        <f t="shared" si="35"/>
        <v>44717</v>
      </c>
      <c r="J62" s="374">
        <f>SUMPRODUCT(Data!C82:F82,Data!BN82:BQ82)</f>
        <v>74287.539999999994</v>
      </c>
      <c r="K62" s="259">
        <f t="shared" si="31"/>
        <v>76077.040000000008</v>
      </c>
      <c r="L62" s="372">
        <f t="shared" ref="L62" si="38">K62/J62</f>
        <v>1.0240888310475755</v>
      </c>
      <c r="M62" s="380">
        <f t="shared" si="32"/>
        <v>1056.6255555555556</v>
      </c>
    </row>
    <row r="63" spans="1:14" x14ac:dyDescent="0.3">
      <c r="A63" s="79">
        <f t="shared" si="34"/>
        <v>44748</v>
      </c>
      <c r="B63" s="291"/>
      <c r="C63" s="258"/>
      <c r="D63" s="361"/>
      <c r="E63" s="259"/>
      <c r="F63" s="259"/>
      <c r="G63" s="366"/>
      <c r="H63" s="371"/>
      <c r="I63" s="79">
        <f t="shared" si="35"/>
        <v>44748</v>
      </c>
      <c r="J63" s="374"/>
      <c r="K63" s="259"/>
      <c r="L63" s="372"/>
      <c r="M63" s="380"/>
    </row>
    <row r="64" spans="1:14" x14ac:dyDescent="0.3">
      <c r="A64" s="79">
        <f t="shared" si="34"/>
        <v>44779</v>
      </c>
      <c r="B64" s="291"/>
      <c r="C64" s="258"/>
      <c r="D64" s="361"/>
      <c r="E64" s="259"/>
      <c r="F64" s="259"/>
      <c r="G64" s="366"/>
      <c r="H64" s="371"/>
      <c r="I64" s="79">
        <f t="shared" si="35"/>
        <v>44779</v>
      </c>
      <c r="J64" s="374"/>
      <c r="K64" s="259"/>
      <c r="L64" s="372"/>
      <c r="M64" s="380"/>
    </row>
    <row r="65" spans="1:14" x14ac:dyDescent="0.3">
      <c r="A65" s="79">
        <f t="shared" si="34"/>
        <v>44810</v>
      </c>
      <c r="B65" s="291"/>
      <c r="C65" s="258"/>
      <c r="D65" s="361"/>
      <c r="E65" s="259"/>
      <c r="F65" s="259"/>
      <c r="G65" s="366"/>
      <c r="H65" s="371"/>
      <c r="I65" s="79">
        <f t="shared" si="35"/>
        <v>44810</v>
      </c>
      <c r="J65" s="374"/>
      <c r="K65" s="259"/>
      <c r="L65" s="372"/>
      <c r="M65" s="380"/>
    </row>
    <row r="66" spans="1:14" x14ac:dyDescent="0.3">
      <c r="A66" s="79">
        <f t="shared" si="34"/>
        <v>44841</v>
      </c>
      <c r="B66" s="291"/>
      <c r="C66" s="258"/>
      <c r="D66" s="361"/>
      <c r="E66" s="259"/>
      <c r="F66" s="259"/>
      <c r="G66" s="366"/>
      <c r="H66" s="371"/>
      <c r="I66" s="79">
        <f t="shared" si="35"/>
        <v>44841</v>
      </c>
      <c r="J66" s="374"/>
      <c r="K66" s="259"/>
      <c r="L66" s="372"/>
      <c r="M66" s="380"/>
    </row>
    <row r="67" spans="1:14" x14ac:dyDescent="0.3">
      <c r="A67" s="79">
        <f t="shared" si="34"/>
        <v>44872</v>
      </c>
      <c r="B67" s="291"/>
      <c r="C67" s="258"/>
      <c r="D67" s="361"/>
      <c r="E67" s="259"/>
      <c r="F67" s="259"/>
      <c r="G67" s="366"/>
      <c r="H67" s="371"/>
      <c r="I67" s="79">
        <f t="shared" si="35"/>
        <v>44872</v>
      </c>
      <c r="J67" s="374"/>
      <c r="K67" s="259"/>
      <c r="L67" s="372"/>
      <c r="M67" s="380"/>
    </row>
    <row r="68" spans="1:14" ht="17.25" thickBot="1" x14ac:dyDescent="0.35">
      <c r="A68" s="79">
        <f t="shared" si="34"/>
        <v>44903</v>
      </c>
      <c r="B68" s="293"/>
      <c r="C68" s="294"/>
      <c r="D68" s="367"/>
      <c r="E68" s="368"/>
      <c r="F68" s="368"/>
      <c r="G68" s="369"/>
      <c r="H68" s="371"/>
      <c r="I68" s="79">
        <f t="shared" si="35"/>
        <v>44903</v>
      </c>
      <c r="J68" s="375"/>
      <c r="K68" s="368"/>
      <c r="L68" s="387"/>
      <c r="M68" s="388"/>
    </row>
    <row r="69" spans="1:14" x14ac:dyDescent="0.3">
      <c r="A69" s="281" t="s">
        <v>138</v>
      </c>
      <c r="B69" s="297">
        <f>AVERAGE(B57:B68)</f>
        <v>94166.666666666672</v>
      </c>
      <c r="C69" s="297">
        <f>SUM(C57:C68)</f>
        <v>13984.81</v>
      </c>
      <c r="D69" s="360">
        <f>C69/B69</f>
        <v>0.14851125663716813</v>
      </c>
      <c r="E69" s="297">
        <f>AVERAGE(E57:E68)</f>
        <v>367250</v>
      </c>
      <c r="F69" s="297">
        <f>SUM(F57:F68)</f>
        <v>3900</v>
      </c>
      <c r="G69" s="360">
        <f>F69/E69</f>
        <v>1.0619469026548672E-2</v>
      </c>
      <c r="H69" s="360"/>
      <c r="I69" s="281" t="s">
        <v>138</v>
      </c>
      <c r="J69" s="302">
        <f>SUM(J57:J68)</f>
        <v>458162.57</v>
      </c>
      <c r="K69" s="302">
        <f>SUM(K57:K68)</f>
        <v>443680.65</v>
      </c>
      <c r="L69" s="360">
        <f>K69/J69</f>
        <v>0.96839130704195242</v>
      </c>
      <c r="M69" s="362">
        <f>AVERAGE(M57:M68)</f>
        <v>988.68863436756044</v>
      </c>
    </row>
    <row r="71" spans="1:14" s="283" customFormat="1" x14ac:dyDescent="0.3">
      <c r="A71" s="281" t="s">
        <v>196</v>
      </c>
      <c r="B71" s="287"/>
      <c r="C71" s="287"/>
      <c r="D71" s="281" t="s">
        <v>195</v>
      </c>
      <c r="E71" s="287"/>
      <c r="F71" s="287"/>
      <c r="G71" s="287"/>
      <c r="H71" s="287"/>
      <c r="I71" s="287"/>
      <c r="J71" s="287"/>
      <c r="K71" s="281"/>
      <c r="L71" s="287"/>
      <c r="M71" s="287"/>
      <c r="N71" s="287"/>
    </row>
    <row r="72" spans="1:14" s="283" customFormat="1" x14ac:dyDescent="0.3">
      <c r="A72" s="281"/>
      <c r="B72" s="287"/>
      <c r="C72" s="287"/>
      <c r="D72" s="281"/>
      <c r="E72" s="287"/>
      <c r="F72" s="287"/>
      <c r="G72" s="287"/>
      <c r="H72" s="287"/>
      <c r="I72" s="287"/>
      <c r="J72" s="287"/>
      <c r="K72" s="281"/>
      <c r="L72" s="287"/>
      <c r="M72" s="287"/>
      <c r="N72" s="287"/>
    </row>
    <row r="73" spans="1:14" s="286" customFormat="1" ht="33.75" thickBot="1" x14ac:dyDescent="0.35">
      <c r="A73" s="284"/>
      <c r="B73" s="285" t="s">
        <v>193</v>
      </c>
      <c r="C73" s="285"/>
      <c r="D73" s="284"/>
      <c r="E73" s="285" t="s">
        <v>197</v>
      </c>
      <c r="F73" s="284"/>
      <c r="G73" s="285"/>
      <c r="H73" s="285"/>
      <c r="I73" s="285"/>
    </row>
    <row r="74" spans="1:14" x14ac:dyDescent="0.3">
      <c r="A74" s="79">
        <f>A39</f>
        <v>44562</v>
      </c>
      <c r="B74" s="376">
        <f>Data!CQ77</f>
        <v>380.61</v>
      </c>
      <c r="C74" s="259"/>
      <c r="D74" s="79">
        <f>A74</f>
        <v>44562</v>
      </c>
      <c r="E74" s="389">
        <f>SUMPRODUCT(Data!CR77:CU77,Data!CV77:CY77)</f>
        <v>1229.6100000000001</v>
      </c>
      <c r="F74" s="79"/>
      <c r="G74" s="258"/>
      <c r="H74" s="261"/>
      <c r="I74" s="259"/>
    </row>
    <row r="75" spans="1:14" x14ac:dyDescent="0.3">
      <c r="A75" s="79">
        <f>31+A74</f>
        <v>44593</v>
      </c>
      <c r="B75" s="377">
        <f>Data!CQ78</f>
        <v>1196.5</v>
      </c>
      <c r="C75" s="259"/>
      <c r="D75" s="79">
        <f>31+D74</f>
        <v>44593</v>
      </c>
      <c r="E75" s="390">
        <f>SUMPRODUCT(Data!CR78:CU78,Data!CV78:CY78)</f>
        <v>1232.9599999999998</v>
      </c>
      <c r="F75" s="79"/>
      <c r="G75" s="258"/>
      <c r="H75" s="261"/>
      <c r="I75" s="259"/>
    </row>
    <row r="76" spans="1:14" x14ac:dyDescent="0.3">
      <c r="A76" s="79">
        <f t="shared" ref="A76:A85" si="39">31+A75</f>
        <v>44624</v>
      </c>
      <c r="B76" s="377">
        <f>Data!CQ79</f>
        <v>1268</v>
      </c>
      <c r="C76" s="259"/>
      <c r="D76" s="79">
        <f t="shared" ref="D76:D85" si="40">31+D75</f>
        <v>44624</v>
      </c>
      <c r="E76" s="390">
        <f>SUMPRODUCT(Data!CR79:CU79,Data!CV79:CY79)</f>
        <v>1279.83</v>
      </c>
      <c r="F76" s="79"/>
      <c r="G76" s="258"/>
      <c r="H76" s="261"/>
      <c r="I76" s="259"/>
    </row>
    <row r="77" spans="1:14" x14ac:dyDescent="0.3">
      <c r="A77" s="79">
        <f t="shared" si="39"/>
        <v>44655</v>
      </c>
      <c r="B77" s="377">
        <f>Data!CQ80</f>
        <v>594</v>
      </c>
      <c r="C77" s="259"/>
      <c r="D77" s="79">
        <f t="shared" si="40"/>
        <v>44655</v>
      </c>
      <c r="E77" s="390">
        <f>SUMPRODUCT(Data!CR80:CU80,Data!CV80:CY80)</f>
        <v>1284.4299999999998</v>
      </c>
      <c r="F77" s="79"/>
      <c r="G77" s="258"/>
      <c r="H77" s="261"/>
      <c r="I77" s="259"/>
    </row>
    <row r="78" spans="1:14" x14ac:dyDescent="0.3">
      <c r="A78" s="79">
        <f t="shared" si="39"/>
        <v>44686</v>
      </c>
      <c r="B78" s="377">
        <f>Data!CQ81</f>
        <v>1487.2</v>
      </c>
      <c r="C78" s="259"/>
      <c r="D78" s="79">
        <f t="shared" si="40"/>
        <v>44686</v>
      </c>
      <c r="E78" s="390">
        <f>SUMPRODUCT(Data!CR81:CU81,Data!CV81:CY81)</f>
        <v>1284.4299999999998</v>
      </c>
      <c r="F78" s="79"/>
      <c r="G78" s="258"/>
      <c r="H78" s="261"/>
      <c r="I78" s="259"/>
    </row>
    <row r="79" spans="1:14" x14ac:dyDescent="0.3">
      <c r="A79" s="79">
        <f t="shared" si="39"/>
        <v>44717</v>
      </c>
      <c r="B79" s="377">
        <f>Data!CQ82</f>
        <v>2800</v>
      </c>
      <c r="C79" s="259"/>
      <c r="D79" s="79">
        <f t="shared" si="40"/>
        <v>44717</v>
      </c>
      <c r="E79" s="390">
        <f>SUMPRODUCT(Data!CR82:CU82,Data!CV82:CY82)</f>
        <v>1255.9699999999998</v>
      </c>
      <c r="F79" s="79"/>
      <c r="G79" s="258"/>
      <c r="H79" s="261"/>
      <c r="I79" s="259"/>
    </row>
    <row r="80" spans="1:14" x14ac:dyDescent="0.3">
      <c r="A80" s="79">
        <f t="shared" si="39"/>
        <v>44748</v>
      </c>
      <c r="B80" s="377"/>
      <c r="C80" s="259"/>
      <c r="D80" s="79">
        <f t="shared" si="40"/>
        <v>44748</v>
      </c>
      <c r="E80" s="390"/>
      <c r="F80" s="79"/>
      <c r="G80" s="258"/>
      <c r="H80" s="261"/>
      <c r="I80" s="259"/>
    </row>
    <row r="81" spans="1:9" x14ac:dyDescent="0.3">
      <c r="A81" s="79">
        <f t="shared" si="39"/>
        <v>44779</v>
      </c>
      <c r="B81" s="377"/>
      <c r="C81" s="259"/>
      <c r="D81" s="79">
        <f t="shared" si="40"/>
        <v>44779</v>
      </c>
      <c r="E81" s="390"/>
      <c r="F81" s="79"/>
      <c r="G81" s="258"/>
      <c r="H81" s="261"/>
      <c r="I81" s="259"/>
    </row>
    <row r="82" spans="1:9" x14ac:dyDescent="0.3">
      <c r="A82" s="79">
        <f t="shared" si="39"/>
        <v>44810</v>
      </c>
      <c r="B82" s="377"/>
      <c r="C82" s="259"/>
      <c r="D82" s="79">
        <f t="shared" si="40"/>
        <v>44810</v>
      </c>
      <c r="E82" s="390"/>
      <c r="F82" s="79"/>
      <c r="G82" s="258"/>
      <c r="H82" s="261"/>
      <c r="I82" s="259"/>
    </row>
    <row r="83" spans="1:9" x14ac:dyDescent="0.3">
      <c r="A83" s="79">
        <f t="shared" si="39"/>
        <v>44841</v>
      </c>
      <c r="B83" s="377"/>
      <c r="C83" s="259"/>
      <c r="D83" s="79">
        <f t="shared" si="40"/>
        <v>44841</v>
      </c>
      <c r="E83" s="390"/>
      <c r="F83" s="79"/>
      <c r="G83" s="258"/>
      <c r="H83" s="261"/>
      <c r="I83" s="259"/>
    </row>
    <row r="84" spans="1:9" x14ac:dyDescent="0.3">
      <c r="A84" s="79">
        <f t="shared" si="39"/>
        <v>44872</v>
      </c>
      <c r="B84" s="377"/>
      <c r="C84" s="259"/>
      <c r="D84" s="79">
        <f t="shared" si="40"/>
        <v>44872</v>
      </c>
      <c r="E84" s="390"/>
      <c r="F84" s="79"/>
      <c r="G84" s="258"/>
      <c r="H84" s="261"/>
      <c r="I84" s="259"/>
    </row>
    <row r="85" spans="1:9" ht="17.25" thickBot="1" x14ac:dyDescent="0.35">
      <c r="A85" s="79">
        <f t="shared" si="39"/>
        <v>44903</v>
      </c>
      <c r="B85" s="378"/>
      <c r="C85" s="259"/>
      <c r="D85" s="79">
        <f t="shared" si="40"/>
        <v>44903</v>
      </c>
      <c r="E85" s="391"/>
      <c r="F85" s="79"/>
      <c r="G85" s="258"/>
      <c r="H85" s="261"/>
      <c r="I85" s="259"/>
    </row>
    <row r="86" spans="1:9" s="283" customFormat="1" x14ac:dyDescent="0.3">
      <c r="A86" s="281" t="s">
        <v>138</v>
      </c>
      <c r="B86" s="297">
        <f>SUM(B74:B85)</f>
        <v>7726.31</v>
      </c>
      <c r="C86" s="310"/>
      <c r="D86" s="281" t="s">
        <v>143</v>
      </c>
      <c r="E86" s="302">
        <f>SUM(E74:E85)</f>
        <v>7567.23</v>
      </c>
      <c r="F86" s="281"/>
      <c r="G86" s="297"/>
      <c r="H86" s="297"/>
      <c r="I86" s="297"/>
    </row>
  </sheetData>
  <mergeCells count="3">
    <mergeCell ref="I38:I39"/>
    <mergeCell ref="F49:I50"/>
    <mergeCell ref="M53:N53"/>
  </mergeCells>
  <pageMargins left="0.25" right="0.25" top="0.75" bottom="0.75" header="0.3" footer="0.3"/>
  <pageSetup scale="43" orientation="portrait" r:id="rId1"/>
  <headerFooter>
    <oddHeader>&amp;L&amp;"Arial,Bold"&amp;12BELLEVANCE TRUCKING
MONTHLY FINANCIAL REPORT
JANUARY 1, 2022-DECEMBER 31, 2022&amp;R&amp;G</oddHeader>
  </headerFooter>
  <rowBreaks count="1" manualBreakCount="1">
    <brk id="35" max="16383" man="1"/>
  </rowBreaks>
  <ignoredErrors>
    <ignoredError sqref="B21:E23 B24:F24 B25:E25 B26:E26" formulaRange="1"/>
  </ignoredErrors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C7C45-2943-445A-A859-89984A9DC431}">
  <sheetPr>
    <pageSetUpPr fitToPage="1"/>
  </sheetPr>
  <dimension ref="A1:T86"/>
  <sheetViews>
    <sheetView showGridLines="0" topLeftCell="A26" zoomScaleNormal="100" workbookViewId="0">
      <selection activeCell="B45" sqref="B45"/>
    </sheetView>
  </sheetViews>
  <sheetFormatPr defaultRowHeight="16.5" x14ac:dyDescent="0.3"/>
  <cols>
    <col min="1" max="1" width="16.7109375" style="79" customWidth="1"/>
    <col min="2" max="7" width="16.7109375" style="256" customWidth="1"/>
    <col min="8" max="8" width="14.140625" style="78" customWidth="1"/>
    <col min="9" max="17" width="16.7109375" style="78" customWidth="1"/>
    <col min="18" max="19" width="16.5703125" style="78" customWidth="1"/>
    <col min="20" max="20" width="15" style="78" customWidth="1"/>
    <col min="21" max="16384" width="9.140625" style="78"/>
  </cols>
  <sheetData>
    <row r="1" spans="1:20" x14ac:dyDescent="0.3">
      <c r="A1" s="281" t="s">
        <v>149</v>
      </c>
      <c r="H1" s="256"/>
    </row>
    <row r="2" spans="1:20" x14ac:dyDescent="0.3">
      <c r="H2" s="256"/>
    </row>
    <row r="3" spans="1:20" s="286" customFormat="1" ht="17.25" thickBot="1" x14ac:dyDescent="0.35">
      <c r="A3" s="284"/>
      <c r="B3" s="285" t="s">
        <v>52</v>
      </c>
      <c r="C3" s="285" t="s">
        <v>118</v>
      </c>
      <c r="D3" s="285" t="s">
        <v>119</v>
      </c>
      <c r="E3" s="285" t="s">
        <v>120</v>
      </c>
      <c r="F3" s="285" t="s">
        <v>139</v>
      </c>
      <c r="G3" s="285"/>
      <c r="H3" s="285"/>
      <c r="I3" s="285"/>
      <c r="J3" s="285"/>
      <c r="K3" s="285"/>
      <c r="L3" s="285"/>
      <c r="M3" s="285"/>
      <c r="N3" s="285"/>
      <c r="P3" s="285"/>
      <c r="Q3" s="285"/>
      <c r="R3" s="285"/>
      <c r="S3" s="285"/>
      <c r="T3" s="285"/>
    </row>
    <row r="4" spans="1:20" x14ac:dyDescent="0.3">
      <c r="A4" s="79">
        <v>44197</v>
      </c>
      <c r="B4" s="273">
        <f>Data!C65</f>
        <v>65</v>
      </c>
      <c r="C4" s="274">
        <f>Data!D65</f>
        <v>14</v>
      </c>
      <c r="D4" s="274">
        <f>Data!E65</f>
        <v>3</v>
      </c>
      <c r="E4" s="274">
        <f>Data!F65</f>
        <v>8</v>
      </c>
      <c r="F4" s="275">
        <f>SUM(B4:E4)</f>
        <v>90</v>
      </c>
      <c r="G4" s="257"/>
      <c r="H4" s="79"/>
      <c r="I4" s="257"/>
      <c r="J4" s="257"/>
      <c r="K4" s="257"/>
      <c r="L4" s="257"/>
      <c r="M4" s="257"/>
      <c r="N4" s="257"/>
      <c r="O4" s="79"/>
      <c r="P4" s="257"/>
      <c r="Q4" s="257"/>
      <c r="R4" s="257"/>
      <c r="S4" s="257"/>
      <c r="T4" s="257"/>
    </row>
    <row r="5" spans="1:20" x14ac:dyDescent="0.3">
      <c r="A5" s="79">
        <f>31+A4</f>
        <v>44228</v>
      </c>
      <c r="B5" s="276">
        <f>Data!C66</f>
        <v>66</v>
      </c>
      <c r="C5" s="257">
        <f>Data!D66</f>
        <v>14</v>
      </c>
      <c r="D5" s="257">
        <f>Data!E66</f>
        <v>3</v>
      </c>
      <c r="E5" s="257">
        <f>Data!F66</f>
        <v>7</v>
      </c>
      <c r="F5" s="277">
        <f t="shared" ref="F5:F15" si="0">SUM(B5:E5)</f>
        <v>90</v>
      </c>
      <c r="G5" s="257"/>
      <c r="H5" s="79"/>
      <c r="I5" s="257"/>
      <c r="J5" s="257"/>
      <c r="K5" s="257"/>
      <c r="L5" s="257"/>
      <c r="M5" s="257"/>
      <c r="N5" s="257"/>
      <c r="O5" s="79"/>
      <c r="P5" s="257"/>
      <c r="Q5" s="257"/>
      <c r="R5" s="257"/>
      <c r="S5" s="257"/>
      <c r="T5" s="257"/>
    </row>
    <row r="6" spans="1:20" ht="13.5" customHeight="1" x14ac:dyDescent="0.3">
      <c r="A6" s="79">
        <f t="shared" ref="A6:A15" si="1">31+A5</f>
        <v>44259</v>
      </c>
      <c r="B6" s="276">
        <f>Data!C67</f>
        <v>66</v>
      </c>
      <c r="C6" s="257">
        <f>Data!D67</f>
        <v>14</v>
      </c>
      <c r="D6" s="257">
        <f>Data!E67</f>
        <v>3</v>
      </c>
      <c r="E6" s="257">
        <f>Data!F67</f>
        <v>7</v>
      </c>
      <c r="F6" s="277">
        <f t="shared" si="0"/>
        <v>90</v>
      </c>
      <c r="G6" s="257"/>
      <c r="H6" s="79"/>
      <c r="I6" s="257"/>
      <c r="J6" s="257"/>
      <c r="K6" s="257"/>
      <c r="L6" s="257"/>
      <c r="M6" s="257"/>
      <c r="N6" s="257"/>
      <c r="O6" s="79"/>
      <c r="P6" s="257"/>
      <c r="Q6" s="257"/>
      <c r="R6" s="257"/>
      <c r="S6" s="257"/>
      <c r="T6" s="257"/>
    </row>
    <row r="7" spans="1:20" x14ac:dyDescent="0.3">
      <c r="A7" s="79">
        <f t="shared" si="1"/>
        <v>44290</v>
      </c>
      <c r="B7" s="276">
        <f>Data!C68</f>
        <v>64</v>
      </c>
      <c r="C7" s="257">
        <f>Data!D68</f>
        <v>11</v>
      </c>
      <c r="D7" s="257">
        <f>Data!E68</f>
        <v>3</v>
      </c>
      <c r="E7" s="257">
        <f>Data!F68</f>
        <v>7</v>
      </c>
      <c r="F7" s="277">
        <f t="shared" si="0"/>
        <v>85</v>
      </c>
      <c r="G7" s="257"/>
      <c r="H7" s="79"/>
      <c r="I7" s="257"/>
      <c r="J7" s="257"/>
      <c r="K7" s="257"/>
      <c r="L7" s="257"/>
      <c r="M7" s="257"/>
      <c r="N7" s="257"/>
      <c r="O7" s="79"/>
      <c r="P7" s="257"/>
      <c r="Q7" s="257"/>
      <c r="R7" s="257"/>
      <c r="S7" s="257"/>
      <c r="T7" s="257"/>
    </row>
    <row r="8" spans="1:20" x14ac:dyDescent="0.3">
      <c r="A8" s="79">
        <f t="shared" si="1"/>
        <v>44321</v>
      </c>
      <c r="B8" s="276">
        <f>Data!C69</f>
        <v>62</v>
      </c>
      <c r="C8" s="257">
        <f>Data!D69</f>
        <v>11</v>
      </c>
      <c r="D8" s="257">
        <f>Data!E69</f>
        <v>3</v>
      </c>
      <c r="E8" s="257">
        <f>Data!F69</f>
        <v>7</v>
      </c>
      <c r="F8" s="277">
        <f t="shared" si="0"/>
        <v>83</v>
      </c>
      <c r="G8" s="257"/>
      <c r="H8" s="79"/>
      <c r="I8" s="257"/>
      <c r="J8" s="257"/>
      <c r="K8" s="257"/>
      <c r="L8" s="257"/>
      <c r="M8" s="257"/>
      <c r="N8" s="257"/>
      <c r="O8" s="79"/>
      <c r="P8" s="257"/>
      <c r="Q8" s="257"/>
      <c r="R8" s="257"/>
      <c r="S8" s="257"/>
      <c r="T8" s="257"/>
    </row>
    <row r="9" spans="1:20" x14ac:dyDescent="0.3">
      <c r="A9" s="79">
        <f t="shared" si="1"/>
        <v>44352</v>
      </c>
      <c r="B9" s="276">
        <f>Data!C70</f>
        <v>61</v>
      </c>
      <c r="C9" s="257">
        <f>Data!D70</f>
        <v>11</v>
      </c>
      <c r="D9" s="257">
        <f>Data!E70</f>
        <v>3</v>
      </c>
      <c r="E9" s="257">
        <f>Data!F70</f>
        <v>6</v>
      </c>
      <c r="F9" s="277">
        <f t="shared" si="0"/>
        <v>81</v>
      </c>
      <c r="G9" s="257"/>
      <c r="H9" s="79"/>
      <c r="I9" s="257"/>
      <c r="J9" s="257"/>
      <c r="K9" s="257"/>
      <c r="L9" s="257"/>
      <c r="M9" s="257"/>
      <c r="N9" s="257"/>
      <c r="O9" s="79"/>
      <c r="P9" s="257"/>
      <c r="Q9" s="257"/>
      <c r="R9" s="257"/>
      <c r="S9" s="257"/>
      <c r="T9" s="257"/>
    </row>
    <row r="10" spans="1:20" x14ac:dyDescent="0.3">
      <c r="A10" s="79">
        <f t="shared" si="1"/>
        <v>44383</v>
      </c>
      <c r="B10" s="276">
        <f>Data!C71</f>
        <v>61</v>
      </c>
      <c r="C10" s="257">
        <f>Data!D71</f>
        <v>10</v>
      </c>
      <c r="D10" s="257">
        <f>Data!E71</f>
        <v>3</v>
      </c>
      <c r="E10" s="257">
        <f>Data!F71</f>
        <v>6</v>
      </c>
      <c r="F10" s="277">
        <f t="shared" si="0"/>
        <v>80</v>
      </c>
      <c r="G10" s="257"/>
      <c r="H10" s="79"/>
      <c r="I10" s="257"/>
      <c r="J10" s="257"/>
      <c r="K10" s="257"/>
      <c r="L10" s="257"/>
      <c r="M10" s="257"/>
      <c r="N10" s="257"/>
      <c r="O10" s="79"/>
      <c r="P10" s="257"/>
      <c r="Q10" s="257"/>
      <c r="R10" s="257"/>
      <c r="S10" s="257"/>
      <c r="T10" s="257"/>
    </row>
    <row r="11" spans="1:20" x14ac:dyDescent="0.3">
      <c r="A11" s="79">
        <f t="shared" si="1"/>
        <v>44414</v>
      </c>
      <c r="B11" s="276">
        <f>Data!C72</f>
        <v>61</v>
      </c>
      <c r="C11" s="257">
        <f>Data!D72</f>
        <v>10</v>
      </c>
      <c r="D11" s="257">
        <f>Data!E72</f>
        <v>3</v>
      </c>
      <c r="E11" s="257">
        <f>Data!F72</f>
        <v>6</v>
      </c>
      <c r="F11" s="277">
        <f t="shared" si="0"/>
        <v>80</v>
      </c>
      <c r="G11" s="257"/>
      <c r="H11" s="79"/>
      <c r="I11" s="257"/>
      <c r="J11" s="257"/>
      <c r="K11" s="257"/>
      <c r="L11" s="257"/>
      <c r="M11" s="257"/>
      <c r="N11" s="257"/>
      <c r="O11" s="79"/>
      <c r="P11" s="257"/>
      <c r="Q11" s="257"/>
      <c r="R11" s="257"/>
      <c r="S11" s="257"/>
      <c r="T11" s="257"/>
    </row>
    <row r="12" spans="1:20" x14ac:dyDescent="0.3">
      <c r="A12" s="79">
        <f t="shared" si="1"/>
        <v>44445</v>
      </c>
      <c r="B12" s="276">
        <f>Data!C73</f>
        <v>61</v>
      </c>
      <c r="C12" s="257">
        <f>Data!D73</f>
        <v>10</v>
      </c>
      <c r="D12" s="257">
        <f>Data!E73</f>
        <v>3</v>
      </c>
      <c r="E12" s="257">
        <f>Data!F73</f>
        <v>6</v>
      </c>
      <c r="F12" s="277">
        <f t="shared" si="0"/>
        <v>80</v>
      </c>
      <c r="G12" s="257"/>
      <c r="H12" s="79"/>
      <c r="I12" s="257"/>
      <c r="J12" s="257"/>
      <c r="K12" s="257"/>
      <c r="L12" s="257"/>
      <c r="M12" s="257"/>
      <c r="N12" s="257"/>
      <c r="O12" s="79"/>
      <c r="P12" s="257"/>
      <c r="Q12" s="257"/>
      <c r="R12" s="257"/>
      <c r="S12" s="257"/>
      <c r="T12" s="257"/>
    </row>
    <row r="13" spans="1:20" x14ac:dyDescent="0.3">
      <c r="A13" s="79">
        <f t="shared" si="1"/>
        <v>44476</v>
      </c>
      <c r="B13" s="276">
        <f>Data!C74</f>
        <v>63</v>
      </c>
      <c r="C13" s="257">
        <f>Data!D74</f>
        <v>10</v>
      </c>
      <c r="D13" s="257">
        <f>Data!E74</f>
        <v>3</v>
      </c>
      <c r="E13" s="257">
        <f>Data!F74</f>
        <v>5</v>
      </c>
      <c r="F13" s="277">
        <f t="shared" si="0"/>
        <v>81</v>
      </c>
      <c r="G13" s="257"/>
      <c r="H13" s="79"/>
      <c r="I13" s="257"/>
      <c r="J13" s="257"/>
      <c r="K13" s="257"/>
      <c r="L13" s="257"/>
      <c r="M13" s="257"/>
      <c r="N13" s="257"/>
      <c r="O13" s="79"/>
      <c r="P13" s="257"/>
      <c r="Q13" s="257"/>
      <c r="R13" s="257"/>
      <c r="S13" s="257"/>
      <c r="T13" s="257"/>
    </row>
    <row r="14" spans="1:20" x14ac:dyDescent="0.3">
      <c r="A14" s="79">
        <f t="shared" si="1"/>
        <v>44507</v>
      </c>
      <c r="B14" s="276">
        <f>Data!C75</f>
        <v>62</v>
      </c>
      <c r="C14" s="257">
        <f>Data!D75</f>
        <v>9</v>
      </c>
      <c r="D14" s="257">
        <f>Data!E75</f>
        <v>3</v>
      </c>
      <c r="E14" s="257">
        <f>Data!F75</f>
        <v>6</v>
      </c>
      <c r="F14" s="277">
        <f t="shared" si="0"/>
        <v>80</v>
      </c>
      <c r="G14" s="257"/>
      <c r="H14" s="79"/>
      <c r="I14" s="257"/>
      <c r="J14" s="257"/>
      <c r="K14" s="257"/>
      <c r="L14" s="257"/>
      <c r="M14" s="257"/>
      <c r="N14" s="257"/>
      <c r="O14" s="79"/>
      <c r="P14" s="257"/>
      <c r="Q14" s="257"/>
      <c r="R14" s="257"/>
      <c r="S14" s="257"/>
      <c r="T14" s="257"/>
    </row>
    <row r="15" spans="1:20" ht="17.25" thickBot="1" x14ac:dyDescent="0.35">
      <c r="A15" s="79">
        <f t="shared" si="1"/>
        <v>44538</v>
      </c>
      <c r="B15" s="278">
        <f>Data!C76</f>
        <v>59</v>
      </c>
      <c r="C15" s="279">
        <f>Data!D76</f>
        <v>10</v>
      </c>
      <c r="D15" s="279">
        <f>Data!E76</f>
        <v>3</v>
      </c>
      <c r="E15" s="279">
        <f>Data!F76</f>
        <v>6</v>
      </c>
      <c r="F15" s="280">
        <f t="shared" si="0"/>
        <v>78</v>
      </c>
      <c r="G15" s="257"/>
      <c r="H15" s="79"/>
      <c r="I15" s="257"/>
      <c r="J15" s="257"/>
      <c r="K15" s="257"/>
      <c r="L15" s="257"/>
      <c r="M15" s="257"/>
      <c r="N15" s="257"/>
      <c r="O15" s="79"/>
      <c r="P15" s="257"/>
      <c r="Q15" s="257"/>
      <c r="R15" s="257"/>
      <c r="S15" s="257"/>
      <c r="T15" s="257"/>
    </row>
    <row r="16" spans="1:20" s="283" customFormat="1" x14ac:dyDescent="0.3">
      <c r="A16" s="281" t="s">
        <v>143</v>
      </c>
      <c r="B16" s="282">
        <f>AVERAGE(B4:B15)</f>
        <v>62.583333333333336</v>
      </c>
      <c r="C16" s="282">
        <f>AVERAGE(C4:C15)</f>
        <v>11.166666666666666</v>
      </c>
      <c r="D16" s="282">
        <f>AVERAGE(D4:D15)</f>
        <v>3</v>
      </c>
      <c r="E16" s="282">
        <f>AVERAGE(E4:E15)</f>
        <v>6.416666666666667</v>
      </c>
      <c r="F16" s="282">
        <f>AVERAGE(F4:F15)</f>
        <v>83.166666666666671</v>
      </c>
      <c r="G16" s="282"/>
      <c r="H16" s="281"/>
      <c r="I16" s="282"/>
      <c r="J16" s="282"/>
      <c r="K16" s="282"/>
      <c r="L16" s="282"/>
      <c r="M16" s="282"/>
      <c r="N16" s="282"/>
      <c r="O16" s="281"/>
      <c r="P16" s="282"/>
      <c r="Q16" s="282"/>
      <c r="R16" s="282"/>
      <c r="S16" s="282"/>
      <c r="T16" s="282"/>
    </row>
    <row r="18" spans="1:14" s="283" customFormat="1" x14ac:dyDescent="0.3">
      <c r="A18" s="281" t="s">
        <v>150</v>
      </c>
      <c r="B18" s="287"/>
      <c r="C18" s="287"/>
      <c r="D18" s="287"/>
      <c r="E18" s="287"/>
      <c r="F18" s="287"/>
      <c r="G18" s="287"/>
      <c r="J18" s="281" t="s">
        <v>151</v>
      </c>
      <c r="K18" s="287"/>
      <c r="L18" s="287"/>
      <c r="M18" s="287"/>
      <c r="N18" s="287"/>
    </row>
    <row r="19" spans="1:14" x14ac:dyDescent="0.3">
      <c r="J19" s="79"/>
      <c r="K19" s="256"/>
      <c r="L19" s="256"/>
      <c r="M19" s="256"/>
      <c r="N19" s="256"/>
    </row>
    <row r="20" spans="1:14" s="283" customFormat="1" ht="33.75" thickBot="1" x14ac:dyDescent="0.35">
      <c r="A20" s="284"/>
      <c r="B20" s="285" t="s">
        <v>140</v>
      </c>
      <c r="C20" s="285" t="s">
        <v>141</v>
      </c>
      <c r="D20" s="285" t="s">
        <v>142</v>
      </c>
      <c r="E20" s="285" t="s">
        <v>130</v>
      </c>
      <c r="F20" s="285" t="s">
        <v>179</v>
      </c>
      <c r="G20" s="285" t="s">
        <v>96</v>
      </c>
      <c r="H20" s="285" t="s">
        <v>180</v>
      </c>
      <c r="I20" s="285"/>
      <c r="J20" s="284"/>
      <c r="K20" s="350" t="s">
        <v>148</v>
      </c>
      <c r="L20" s="285" t="s">
        <v>145</v>
      </c>
      <c r="M20" s="285" t="s">
        <v>146</v>
      </c>
    </row>
    <row r="21" spans="1:14" x14ac:dyDescent="0.3">
      <c r="A21" s="79">
        <f>A4</f>
        <v>44197</v>
      </c>
      <c r="B21" s="288">
        <f>SUMPRODUCT(Data!C65:N65,Data!R65:AC65)</f>
        <v>2308.35</v>
      </c>
      <c r="C21" s="289">
        <f>SUMPRODUCT(Data!C65:N65,Data!AD65:AO65)</f>
        <v>29212.17</v>
      </c>
      <c r="D21" s="289">
        <f>SUMPRODUCT(Data!C65:N65,Data!AP65:BA65)</f>
        <v>4595.24</v>
      </c>
      <c r="E21" s="289">
        <f>SUMPRODUCT(Data!C65:N65,Data!BB65:BM65)</f>
        <v>39832.289999999994</v>
      </c>
      <c r="F21" s="289">
        <f>SUM(B21:E21)</f>
        <v>75948.049999999988</v>
      </c>
      <c r="G21" s="289">
        <f>SUMPRODUCT(Data!C65:F65,Data!BZ65:CC65)</f>
        <v>-36356.46</v>
      </c>
      <c r="H21" s="290">
        <f>F21+G21</f>
        <v>39591.589999999989</v>
      </c>
      <c r="I21" s="258"/>
      <c r="J21" s="79">
        <f>A4</f>
        <v>44197</v>
      </c>
      <c r="K21" s="288">
        <f>Data!CL65</f>
        <v>41093.53</v>
      </c>
      <c r="L21" s="289">
        <f>Data!CN65</f>
        <v>0</v>
      </c>
      <c r="M21" s="290">
        <f>K21+L21</f>
        <v>41093.53</v>
      </c>
    </row>
    <row r="22" spans="1:14" x14ac:dyDescent="0.3">
      <c r="A22" s="79">
        <f>31+A21</f>
        <v>44228</v>
      </c>
      <c r="B22" s="291">
        <f>SUMPRODUCT(Data!C66:N66,Data!R66:AC66)</f>
        <v>2273.2200000000003</v>
      </c>
      <c r="C22" s="258">
        <f>SUMPRODUCT(Data!C66:N66,Data!AD66:AO66)</f>
        <v>28770.339999999997</v>
      </c>
      <c r="D22" s="258">
        <f>SUMPRODUCT(Data!C66:N66,Data!AP66:BA66)</f>
        <v>4525.74</v>
      </c>
      <c r="E22" s="258">
        <f>SUMPRODUCT(Data!C66:N66,Data!BB66:BM66)</f>
        <v>39229.86</v>
      </c>
      <c r="F22" s="258">
        <f t="shared" ref="F22:F32" si="2">SUM(B22:E22)</f>
        <v>74799.16</v>
      </c>
      <c r="G22" s="258">
        <f>SUMPRODUCT(Data!C66:F66,Data!BZ66:CC66)</f>
        <v>-35892.789999999994</v>
      </c>
      <c r="H22" s="292">
        <f t="shared" ref="H22:H32" si="3">F22+G22</f>
        <v>38906.37000000001</v>
      </c>
      <c r="I22" s="258"/>
      <c r="J22" s="79">
        <f>31+J21</f>
        <v>44228</v>
      </c>
      <c r="K22" s="291">
        <f>Data!CL66</f>
        <v>43012.35</v>
      </c>
      <c r="L22" s="258">
        <f>Data!CN66</f>
        <v>0</v>
      </c>
      <c r="M22" s="292">
        <f t="shared" ref="M22:M32" si="4">K22+L22</f>
        <v>43012.35</v>
      </c>
    </row>
    <row r="23" spans="1:14" x14ac:dyDescent="0.3">
      <c r="A23" s="79">
        <f t="shared" ref="A23:A32" si="5">31+A22</f>
        <v>44259</v>
      </c>
      <c r="B23" s="291">
        <f>SUMPRODUCT(Data!C67:N67,Data!R67:AC67)</f>
        <v>2273.2200000000003</v>
      </c>
      <c r="C23" s="258">
        <f>SUMPRODUCT(Data!C67:N67,Data!AD67:AO67)</f>
        <v>28770.339999999997</v>
      </c>
      <c r="D23" s="258">
        <f>SUMPRODUCT(Data!C67:N67,Data!AP67:BA67)</f>
        <v>4525.74</v>
      </c>
      <c r="E23" s="258">
        <f>SUMPRODUCT(Data!C67:N67,Data!BB67:BM67)</f>
        <v>39229.86</v>
      </c>
      <c r="F23" s="258">
        <f t="shared" si="2"/>
        <v>74799.16</v>
      </c>
      <c r="G23" s="258">
        <f>SUMPRODUCT(Data!C67:F67,Data!BZ67:CC67)</f>
        <v>-35892.789999999994</v>
      </c>
      <c r="H23" s="292">
        <f t="shared" si="3"/>
        <v>38906.37000000001</v>
      </c>
      <c r="I23" s="258"/>
      <c r="J23" s="79">
        <f t="shared" ref="J23:J32" si="6">31+J22</f>
        <v>44259</v>
      </c>
      <c r="K23" s="291">
        <f>Data!CL67</f>
        <v>40482.54</v>
      </c>
      <c r="L23" s="258">
        <f>Data!CN67</f>
        <v>0</v>
      </c>
      <c r="M23" s="292">
        <f t="shared" si="4"/>
        <v>40482.54</v>
      </c>
    </row>
    <row r="24" spans="1:14" x14ac:dyDescent="0.3">
      <c r="A24" s="79">
        <f t="shared" si="5"/>
        <v>44290</v>
      </c>
      <c r="B24" s="291">
        <f>SUMPRODUCT(Data!C68:N68,Data!R68:AC68)</f>
        <v>2125.7200000000003</v>
      </c>
      <c r="C24" s="258">
        <f>SUMPRODUCT(Data!C68:N68,Data!AD68:AO68)</f>
        <v>26901.75</v>
      </c>
      <c r="D24" s="258">
        <f>SUMPRODUCT(Data!C68:N68,Data!AP68:BA68)</f>
        <v>4231.79</v>
      </c>
      <c r="E24" s="258">
        <f>SUMPRODUCT(Data!C68:N68,Data!BB68:BM68)</f>
        <v>36681.97</v>
      </c>
      <c r="F24" s="258">
        <f t="shared" si="2"/>
        <v>69941.23000000001</v>
      </c>
      <c r="G24" s="258">
        <f>SUMPRODUCT(Data!C68:F68,Data!BZ68:CC68)</f>
        <v>-33375.129999999997</v>
      </c>
      <c r="H24" s="292">
        <f t="shared" si="3"/>
        <v>36566.100000000013</v>
      </c>
      <c r="I24" s="258"/>
      <c r="J24" s="79">
        <f t="shared" si="6"/>
        <v>44290</v>
      </c>
      <c r="K24" s="291">
        <f>Data!CL68</f>
        <v>54523.73</v>
      </c>
      <c r="L24" s="258">
        <f>Data!CN68</f>
        <v>0</v>
      </c>
      <c r="M24" s="292">
        <f t="shared" si="4"/>
        <v>54523.73</v>
      </c>
    </row>
    <row r="25" spans="1:14" x14ac:dyDescent="0.3">
      <c r="A25" s="79">
        <f t="shared" si="5"/>
        <v>44321</v>
      </c>
      <c r="B25" s="291">
        <f>SUMPRODUCT(Data!C69:N69,Data!R69:AC69)</f>
        <v>2086.6999999999998</v>
      </c>
      <c r="C25" s="258">
        <f>SUMPRODUCT(Data!C69:N69,Data!AD69:AO69)</f>
        <v>26407.549999999996</v>
      </c>
      <c r="D25" s="258">
        <f>SUMPRODUCT(Data!C69:N69,Data!AP69:BA69)</f>
        <v>4154.05</v>
      </c>
      <c r="E25" s="258">
        <f>SUMPRODUCT(Data!C69:N69,Data!BB69:BM69)</f>
        <v>36008.089999999997</v>
      </c>
      <c r="F25" s="258">
        <f t="shared" si="2"/>
        <v>68656.389999999985</v>
      </c>
      <c r="G25" s="258">
        <f>SUMPRODUCT(Data!C69:F69,Data!BZ69:CC69)</f>
        <v>-32768.47</v>
      </c>
      <c r="H25" s="292">
        <f t="shared" si="3"/>
        <v>35887.919999999984</v>
      </c>
      <c r="I25" s="258"/>
      <c r="J25" s="79">
        <f t="shared" si="6"/>
        <v>44321</v>
      </c>
      <c r="K25" s="291">
        <f>Data!CL69</f>
        <v>48247.81</v>
      </c>
      <c r="L25" s="258">
        <f>Data!CN69</f>
        <v>0</v>
      </c>
      <c r="M25" s="292">
        <f t="shared" si="4"/>
        <v>48247.81</v>
      </c>
    </row>
    <row r="26" spans="1:14" x14ac:dyDescent="0.3">
      <c r="A26" s="79">
        <f t="shared" si="5"/>
        <v>44352</v>
      </c>
      <c r="B26" s="291">
        <f>SUMPRODUCT(Data!C70:N70,Data!R70:AC70)</f>
        <v>2012.5500000000002</v>
      </c>
      <c r="C26" s="258">
        <f>SUMPRODUCT(Data!C70:N70,Data!AD70:AO70)</f>
        <v>25471.519999999997</v>
      </c>
      <c r="D26" s="258">
        <f>SUMPRODUCT(Data!C70:N70,Data!AP70:BA70)</f>
        <v>4006.8099999999995</v>
      </c>
      <c r="E26" s="258">
        <f>SUMPRODUCT(Data!C70:N70,Data!BB70:BM70)</f>
        <v>34731.78</v>
      </c>
      <c r="F26" s="258">
        <f t="shared" si="2"/>
        <v>66222.66</v>
      </c>
      <c r="G26" s="258">
        <f>SUMPRODUCT(Data!C70:F70,Data!BZ70:CC70)</f>
        <v>-31698.139999999996</v>
      </c>
      <c r="H26" s="292">
        <f t="shared" si="3"/>
        <v>34524.520000000004</v>
      </c>
      <c r="I26" s="258"/>
      <c r="J26" s="79">
        <f t="shared" si="6"/>
        <v>44352</v>
      </c>
      <c r="K26" s="291">
        <f>Data!CL70</f>
        <v>61815.39</v>
      </c>
      <c r="L26" s="258">
        <f>Data!CN70</f>
        <v>0</v>
      </c>
      <c r="M26" s="292">
        <f t="shared" si="4"/>
        <v>61815.39</v>
      </c>
    </row>
    <row r="27" spans="1:14" x14ac:dyDescent="0.3">
      <c r="A27" s="79">
        <f t="shared" si="5"/>
        <v>44383</v>
      </c>
      <c r="B27" s="291">
        <f>SUMPRODUCT(Data!C71:N71,Data!R71:AC71)</f>
        <v>1976.3899999999999</v>
      </c>
      <c r="C27" s="258">
        <f>SUMPRODUCT(Data!C71:N71,Data!AD71:AO71)</f>
        <v>25013.39</v>
      </c>
      <c r="D27" s="258">
        <f>SUMPRODUCT(Data!C71:N71,Data!AP71:BA71)</f>
        <v>3934.74</v>
      </c>
      <c r="E27" s="258">
        <f>SUMPRODUCT(Data!C71:N71,Data!BB71:BM71)</f>
        <v>34107.11</v>
      </c>
      <c r="F27" s="258">
        <f t="shared" si="2"/>
        <v>65031.63</v>
      </c>
      <c r="G27" s="258">
        <f>SUMPRODUCT(Data!C71:F71,Data!BZ71:CC71)</f>
        <v>-31061.139999999996</v>
      </c>
      <c r="H27" s="292">
        <f t="shared" si="3"/>
        <v>33970.490000000005</v>
      </c>
      <c r="I27" s="258"/>
      <c r="J27" s="79">
        <f t="shared" si="6"/>
        <v>44383</v>
      </c>
      <c r="K27" s="291">
        <f>Data!CL71</f>
        <v>54599.68</v>
      </c>
      <c r="L27" s="258">
        <f>Data!CN71</f>
        <v>-44505.919999999998</v>
      </c>
      <c r="M27" s="292">
        <f t="shared" si="4"/>
        <v>10093.760000000002</v>
      </c>
    </row>
    <row r="28" spans="1:14" x14ac:dyDescent="0.3">
      <c r="A28" s="79">
        <f t="shared" si="5"/>
        <v>44414</v>
      </c>
      <c r="B28" s="291">
        <f>SUMPRODUCT(Data!C72:N72,Data!R72:AC72)</f>
        <v>1976.3899999999999</v>
      </c>
      <c r="C28" s="258">
        <f>SUMPRODUCT(Data!C72:N72,Data!AD72:AO72)</f>
        <v>25013.39</v>
      </c>
      <c r="D28" s="258">
        <f>SUMPRODUCT(Data!C72:N72,Data!AP72:BA72)</f>
        <v>3934.74</v>
      </c>
      <c r="E28" s="258">
        <f>SUMPRODUCT(Data!C72:N72,Data!BB72:BM72)</f>
        <v>34107.11</v>
      </c>
      <c r="F28" s="258">
        <f t="shared" si="2"/>
        <v>65031.63</v>
      </c>
      <c r="G28" s="258">
        <f>SUMPRODUCT(Data!C72:F72,Data!BZ72:CC72)</f>
        <v>-31061.139999999996</v>
      </c>
      <c r="H28" s="292">
        <f t="shared" si="3"/>
        <v>33970.490000000005</v>
      </c>
      <c r="I28" s="258"/>
      <c r="J28" s="79">
        <f t="shared" si="6"/>
        <v>44414</v>
      </c>
      <c r="K28" s="291">
        <f>Data!CL72</f>
        <v>32054.84</v>
      </c>
      <c r="L28" s="258">
        <f>Data!CN72</f>
        <v>-241.20999999999913</v>
      </c>
      <c r="M28" s="292">
        <f t="shared" si="4"/>
        <v>31813.63</v>
      </c>
    </row>
    <row r="29" spans="1:14" x14ac:dyDescent="0.3">
      <c r="A29" s="79">
        <f t="shared" si="5"/>
        <v>44445</v>
      </c>
      <c r="B29" s="291">
        <f>SUMPRODUCT(Data!C73:N73,Data!R73:AC73)</f>
        <v>1976.3899999999999</v>
      </c>
      <c r="C29" s="258">
        <f>SUMPRODUCT(Data!C73:N73,Data!AD73:AO73)</f>
        <v>25013.39</v>
      </c>
      <c r="D29" s="258">
        <f>SUMPRODUCT(Data!C73:N73,Data!AP73:BA73)</f>
        <v>3934.74</v>
      </c>
      <c r="E29" s="258">
        <f>SUMPRODUCT(Data!C73:N73,Data!BB73:BM73)</f>
        <v>34107.11</v>
      </c>
      <c r="F29" s="258">
        <f t="shared" si="2"/>
        <v>65031.63</v>
      </c>
      <c r="G29" s="258">
        <f>SUMPRODUCT(Data!C73:F73,Data!BZ73:CC73)</f>
        <v>-31061.139999999996</v>
      </c>
      <c r="H29" s="292">
        <f t="shared" si="3"/>
        <v>33970.490000000005</v>
      </c>
      <c r="I29" s="258"/>
      <c r="J29" s="79">
        <f t="shared" si="6"/>
        <v>44445</v>
      </c>
      <c r="K29" s="291">
        <f>Data!CL73</f>
        <v>15740.45</v>
      </c>
      <c r="L29" s="258">
        <f>Data!CN73</f>
        <v>0</v>
      </c>
      <c r="M29" s="292">
        <f t="shared" si="4"/>
        <v>15740.45</v>
      </c>
    </row>
    <row r="30" spans="1:14" x14ac:dyDescent="0.3">
      <c r="A30" s="79">
        <f t="shared" si="5"/>
        <v>44476</v>
      </c>
      <c r="B30" s="291">
        <f>SUMPRODUCT(Data!C74:N74,Data!R74:AC74)</f>
        <v>1960.77</v>
      </c>
      <c r="C30" s="258">
        <f>SUMPRODUCT(Data!C74:N74,Data!AD74:AO74)</f>
        <v>24818.659999999996</v>
      </c>
      <c r="D30" s="258">
        <f>SUMPRODUCT(Data!C74:N74,Data!AP74:BA74)</f>
        <v>3904.1099999999997</v>
      </c>
      <c r="E30" s="258">
        <f>SUMPRODUCT(Data!C74:N74,Data!BB74:BM74)</f>
        <v>33841.620000000003</v>
      </c>
      <c r="F30" s="258">
        <f t="shared" si="2"/>
        <v>64525.16</v>
      </c>
      <c r="G30" s="258">
        <f>SUMPRODUCT(Data!C74:F74,Data!BZ74:CC74)</f>
        <v>-30900.799999999996</v>
      </c>
      <c r="H30" s="292">
        <f t="shared" si="3"/>
        <v>33624.360000000008</v>
      </c>
      <c r="I30" s="258"/>
      <c r="J30" s="79">
        <f t="shared" si="6"/>
        <v>44476</v>
      </c>
      <c r="K30" s="291">
        <f>Data!CL74</f>
        <v>29096.28</v>
      </c>
      <c r="L30" s="258">
        <f>Data!CN74</f>
        <v>-25000.000000000015</v>
      </c>
      <c r="M30" s="292">
        <f t="shared" si="4"/>
        <v>4096.2799999999843</v>
      </c>
    </row>
    <row r="31" spans="1:14" x14ac:dyDescent="0.3">
      <c r="A31" s="79">
        <f t="shared" si="5"/>
        <v>44507</v>
      </c>
      <c r="B31" s="291">
        <f>SUMPRODUCT(Data!C75:N75,Data!R75:AC75)</f>
        <v>1959.7399999999998</v>
      </c>
      <c r="C31" s="258">
        <f>SUMPRODUCT(Data!C75:N75,Data!AD75:AO75)</f>
        <v>24802.36</v>
      </c>
      <c r="D31" s="258">
        <f>SUMPRODUCT(Data!C75:N75,Data!AP75:BA75)</f>
        <v>3901.54</v>
      </c>
      <c r="E31" s="258">
        <f>SUMPRODUCT(Data!C75:N75,Data!BB75:BM75)</f>
        <v>33819.379999999997</v>
      </c>
      <c r="F31" s="258">
        <f t="shared" si="2"/>
        <v>64483.02</v>
      </c>
      <c r="G31" s="258">
        <f>SUMPRODUCT(Data!C75:F75,Data!BZ75:CC75)</f>
        <v>-30727.469999999998</v>
      </c>
      <c r="H31" s="292">
        <f t="shared" si="3"/>
        <v>33755.550000000003</v>
      </c>
      <c r="I31" s="258"/>
      <c r="J31" s="79">
        <f t="shared" si="6"/>
        <v>44507</v>
      </c>
      <c r="K31" s="291">
        <f>Data!CL75</f>
        <v>50339.63</v>
      </c>
      <c r="L31" s="258">
        <f>Data!CN75</f>
        <v>0</v>
      </c>
      <c r="M31" s="292">
        <f t="shared" si="4"/>
        <v>50339.63</v>
      </c>
    </row>
    <row r="32" spans="1:14" ht="17.25" thickBot="1" x14ac:dyDescent="0.35">
      <c r="A32" s="79">
        <f t="shared" si="5"/>
        <v>44538</v>
      </c>
      <c r="B32" s="293">
        <f>SUMPRODUCT(Data!C76:N76,Data!R76:AC76)</f>
        <v>1937.37</v>
      </c>
      <c r="C32" s="294">
        <f>SUMPRODUCT(Data!C76:N76,Data!AD76:AO76)</f>
        <v>24519.190000000002</v>
      </c>
      <c r="D32" s="294">
        <f>SUMPRODUCT(Data!C76:N76,Data!AP76:BA76)</f>
        <v>3857</v>
      </c>
      <c r="E32" s="294">
        <f>SUMPRODUCT(Data!C76:N76,Data!BB76:BM76)</f>
        <v>33433.229999999996</v>
      </c>
      <c r="F32" s="294">
        <f t="shared" si="2"/>
        <v>63746.789999999994</v>
      </c>
      <c r="G32" s="294">
        <f>SUMPRODUCT(Data!C76:F76,Data!BZ76:CC76)</f>
        <v>-30454.479999999996</v>
      </c>
      <c r="H32" s="295">
        <f t="shared" si="3"/>
        <v>33292.31</v>
      </c>
      <c r="I32" s="258"/>
      <c r="J32" s="79">
        <f t="shared" si="6"/>
        <v>44538</v>
      </c>
      <c r="K32" s="293">
        <f>Data!CL76</f>
        <v>57432.35</v>
      </c>
      <c r="L32" s="294">
        <f>Data!CN76</f>
        <v>0</v>
      </c>
      <c r="M32" s="295">
        <f t="shared" si="4"/>
        <v>57432.35</v>
      </c>
    </row>
    <row r="33" spans="1:13" s="283" customFormat="1" x14ac:dyDescent="0.3">
      <c r="A33" s="281" t="s">
        <v>138</v>
      </c>
      <c r="B33" s="297">
        <f>SUM(B21:B32)</f>
        <v>24866.809999999994</v>
      </c>
      <c r="C33" s="297">
        <f t="shared" ref="C33:H33" si="7">SUM(C21:C32)</f>
        <v>314714.05</v>
      </c>
      <c r="D33" s="297">
        <f t="shared" si="7"/>
        <v>49506.239999999991</v>
      </c>
      <c r="E33" s="297">
        <f t="shared" si="7"/>
        <v>429129.40999999992</v>
      </c>
      <c r="F33" s="297">
        <f t="shared" si="7"/>
        <v>818216.51000000013</v>
      </c>
      <c r="G33" s="297">
        <f t="shared" si="7"/>
        <v>-391249.9499999999</v>
      </c>
      <c r="H33" s="297">
        <f t="shared" si="7"/>
        <v>426966.55999999994</v>
      </c>
      <c r="I33" s="297"/>
      <c r="J33" s="281" t="s">
        <v>138</v>
      </c>
      <c r="K33" s="297">
        <f>SUM(K21:K32)</f>
        <v>528438.58000000007</v>
      </c>
      <c r="L33" s="297">
        <f>SUM(L21:L32)</f>
        <v>-69747.13</v>
      </c>
      <c r="M33" s="297">
        <f>SUM(M21:M32)</f>
        <v>458691.45</v>
      </c>
    </row>
    <row r="36" spans="1:13" s="283" customFormat="1" x14ac:dyDescent="0.3">
      <c r="A36" s="281" t="s">
        <v>144</v>
      </c>
      <c r="B36" s="287"/>
      <c r="C36" s="287"/>
      <c r="D36" s="287"/>
      <c r="E36" s="287"/>
    </row>
    <row r="38" spans="1:13" s="286" customFormat="1" ht="33.75" thickBot="1" x14ac:dyDescent="0.35">
      <c r="A38" s="284"/>
      <c r="B38" s="350" t="s">
        <v>210</v>
      </c>
      <c r="C38" s="221" t="s">
        <v>147</v>
      </c>
      <c r="D38" s="350" t="s">
        <v>131</v>
      </c>
      <c r="E38" s="350"/>
      <c r="F38" s="397"/>
      <c r="G38" s="397"/>
      <c r="H38" s="398"/>
      <c r="I38" s="434" t="s">
        <v>198</v>
      </c>
    </row>
    <row r="39" spans="1:13" ht="17.25" thickBot="1" x14ac:dyDescent="0.35">
      <c r="A39" s="79">
        <f>A4</f>
        <v>44197</v>
      </c>
      <c r="B39" s="288">
        <f>K21</f>
        <v>41093.53</v>
      </c>
      <c r="C39" s="289">
        <f>E21</f>
        <v>39832.289999999994</v>
      </c>
      <c r="D39" s="298">
        <f>C39-B39</f>
        <v>-1261.2400000000052</v>
      </c>
      <c r="E39" s="261"/>
      <c r="F39" s="399"/>
      <c r="G39" s="399"/>
      <c r="H39" s="400"/>
      <c r="I39" s="434"/>
    </row>
    <row r="40" spans="1:13" ht="17.25" thickBot="1" x14ac:dyDescent="0.35">
      <c r="A40" s="79">
        <f>31+A39</f>
        <v>44228</v>
      </c>
      <c r="B40" s="291">
        <f t="shared" ref="B40:B50" si="8">K22</f>
        <v>43012.35</v>
      </c>
      <c r="C40" s="258">
        <f t="shared" ref="C40:C50" si="9">E22</f>
        <v>39229.86</v>
      </c>
      <c r="D40" s="299">
        <f t="shared" ref="D40:D50" si="10">C40-B40</f>
        <v>-3782.489999999998</v>
      </c>
      <c r="E40" s="261"/>
      <c r="F40" s="401" t="s">
        <v>68</v>
      </c>
      <c r="G40" s="402" t="s">
        <v>131</v>
      </c>
      <c r="H40" s="290">
        <f>D51</f>
        <v>-99309.169999999984</v>
      </c>
      <c r="I40" s="414">
        <f>D52</f>
        <v>-99744.52999999997</v>
      </c>
    </row>
    <row r="41" spans="1:13" x14ac:dyDescent="0.3">
      <c r="A41" s="79">
        <f t="shared" ref="A41:A50" si="11">31+A40</f>
        <v>44259</v>
      </c>
      <c r="B41" s="291">
        <f t="shared" si="8"/>
        <v>40482.54</v>
      </c>
      <c r="C41" s="258">
        <f t="shared" si="9"/>
        <v>39229.86</v>
      </c>
      <c r="D41" s="299">
        <f t="shared" si="10"/>
        <v>-1252.6800000000003</v>
      </c>
      <c r="E41" s="261"/>
      <c r="F41" s="403" t="s">
        <v>69</v>
      </c>
      <c r="G41" s="404" t="s">
        <v>199</v>
      </c>
      <c r="H41" s="292">
        <f>(25%*C49)</f>
        <v>8454.8449999999993</v>
      </c>
      <c r="I41" s="208"/>
    </row>
    <row r="42" spans="1:13" ht="17.25" thickBot="1" x14ac:dyDescent="0.35">
      <c r="A42" s="79">
        <f t="shared" si="11"/>
        <v>44290</v>
      </c>
      <c r="B42" s="291">
        <f t="shared" si="8"/>
        <v>54523.73</v>
      </c>
      <c r="C42" s="258">
        <f t="shared" si="9"/>
        <v>36681.97</v>
      </c>
      <c r="D42" s="299">
        <f t="shared" si="10"/>
        <v>-17841.760000000002</v>
      </c>
      <c r="E42" s="261"/>
      <c r="F42" s="403" t="s">
        <v>70</v>
      </c>
      <c r="G42" s="404" t="s">
        <v>200</v>
      </c>
      <c r="H42" s="292">
        <f>50%*C50</f>
        <v>16716.614999999998</v>
      </c>
      <c r="I42" s="208"/>
    </row>
    <row r="43" spans="1:13" ht="17.25" thickBot="1" x14ac:dyDescent="0.35">
      <c r="A43" s="79">
        <f t="shared" si="11"/>
        <v>44321</v>
      </c>
      <c r="B43" s="291">
        <f t="shared" si="8"/>
        <v>48247.81</v>
      </c>
      <c r="C43" s="258">
        <f t="shared" si="9"/>
        <v>36008.089999999997</v>
      </c>
      <c r="D43" s="299">
        <f t="shared" si="10"/>
        <v>-12239.720000000001</v>
      </c>
      <c r="E43" s="261"/>
      <c r="F43" s="403" t="s">
        <v>201</v>
      </c>
      <c r="G43" s="404" t="s">
        <v>202</v>
      </c>
      <c r="H43" s="292">
        <f>H41+H42</f>
        <v>25171.46</v>
      </c>
      <c r="I43" s="414">
        <v>6000.76</v>
      </c>
    </row>
    <row r="44" spans="1:13" x14ac:dyDescent="0.3">
      <c r="A44" s="79">
        <f t="shared" si="11"/>
        <v>44352</v>
      </c>
      <c r="B44" s="291">
        <f t="shared" si="8"/>
        <v>61815.39</v>
      </c>
      <c r="C44" s="258">
        <f t="shared" si="9"/>
        <v>34731.78</v>
      </c>
      <c r="D44" s="299">
        <f t="shared" si="10"/>
        <v>-27083.61</v>
      </c>
      <c r="E44" s="261"/>
      <c r="F44" s="403"/>
      <c r="G44" s="404"/>
      <c r="H44" s="292"/>
      <c r="I44" s="377"/>
    </row>
    <row r="45" spans="1:13" x14ac:dyDescent="0.3">
      <c r="A45" s="79">
        <f t="shared" si="11"/>
        <v>44383</v>
      </c>
      <c r="B45" s="291">
        <f t="shared" si="8"/>
        <v>54599.68</v>
      </c>
      <c r="C45" s="258">
        <f t="shared" si="9"/>
        <v>34107.11</v>
      </c>
      <c r="D45" s="299">
        <f t="shared" si="10"/>
        <v>-20492.57</v>
      </c>
      <c r="E45" s="261"/>
      <c r="F45" s="403" t="s">
        <v>203</v>
      </c>
      <c r="G45" s="404" t="s">
        <v>204</v>
      </c>
      <c r="H45" s="292">
        <f>H40-H43</f>
        <v>-124480.62999999998</v>
      </c>
      <c r="I45" s="377">
        <f>I40-I43</f>
        <v>-105745.28999999996</v>
      </c>
    </row>
    <row r="46" spans="1:13" ht="17.25" thickBot="1" x14ac:dyDescent="0.35">
      <c r="A46" s="79">
        <f t="shared" si="11"/>
        <v>44414</v>
      </c>
      <c r="B46" s="291">
        <f t="shared" si="8"/>
        <v>32054.84</v>
      </c>
      <c r="C46" s="258">
        <f t="shared" si="9"/>
        <v>34107.11</v>
      </c>
      <c r="D46" s="299">
        <f t="shared" si="10"/>
        <v>2052.2700000000004</v>
      </c>
      <c r="E46" s="261"/>
      <c r="F46" s="403" t="s">
        <v>205</v>
      </c>
      <c r="G46" s="404" t="s">
        <v>206</v>
      </c>
      <c r="H46" s="405">
        <v>0.5</v>
      </c>
      <c r="I46" s="406">
        <v>0.5</v>
      </c>
    </row>
    <row r="47" spans="1:13" ht="17.25" thickBot="1" x14ac:dyDescent="0.35">
      <c r="A47" s="79">
        <f t="shared" si="11"/>
        <v>44445</v>
      </c>
      <c r="B47" s="291">
        <f t="shared" si="8"/>
        <v>15740.45</v>
      </c>
      <c r="C47" s="258">
        <f t="shared" si="9"/>
        <v>34107.11</v>
      </c>
      <c r="D47" s="299">
        <f t="shared" si="10"/>
        <v>18366.66</v>
      </c>
      <c r="E47" s="261"/>
      <c r="F47" s="407" t="s">
        <v>207</v>
      </c>
      <c r="G47" s="408" t="s">
        <v>208</v>
      </c>
      <c r="H47" s="410">
        <f>H45*H46</f>
        <v>-62240.314999999988</v>
      </c>
      <c r="I47" s="227">
        <v>0</v>
      </c>
    </row>
    <row r="48" spans="1:13" x14ac:dyDescent="0.3">
      <c r="A48" s="79">
        <f t="shared" si="11"/>
        <v>44476</v>
      </c>
      <c r="B48" s="291">
        <f t="shared" si="8"/>
        <v>29096.28</v>
      </c>
      <c r="C48" s="258">
        <f t="shared" si="9"/>
        <v>33841.620000000003</v>
      </c>
      <c r="D48" s="299">
        <f t="shared" si="10"/>
        <v>4745.3400000000038</v>
      </c>
      <c r="E48" s="261"/>
      <c r="F48" s="409"/>
      <c r="G48" s="409"/>
      <c r="H48" s="409"/>
      <c r="I48" s="400"/>
    </row>
    <row r="49" spans="1:14" ht="16.5" customHeight="1" x14ac:dyDescent="0.3">
      <c r="A49" s="79">
        <f t="shared" si="11"/>
        <v>44507</v>
      </c>
      <c r="B49" s="291">
        <f t="shared" si="8"/>
        <v>50339.63</v>
      </c>
      <c r="C49" s="258">
        <f t="shared" si="9"/>
        <v>33819.379999999997</v>
      </c>
      <c r="D49" s="299">
        <f t="shared" si="10"/>
        <v>-16520.25</v>
      </c>
      <c r="E49" s="261"/>
      <c r="F49" s="435" t="s">
        <v>212</v>
      </c>
      <c r="G49" s="435"/>
      <c r="H49" s="435"/>
      <c r="I49" s="435"/>
    </row>
    <row r="50" spans="1:14" ht="17.25" thickBot="1" x14ac:dyDescent="0.35">
      <c r="A50" s="79">
        <f t="shared" si="11"/>
        <v>44538</v>
      </c>
      <c r="B50" s="293">
        <f t="shared" si="8"/>
        <v>57432.35</v>
      </c>
      <c r="C50" s="294">
        <f t="shared" si="9"/>
        <v>33433.229999999996</v>
      </c>
      <c r="D50" s="300">
        <f t="shared" si="10"/>
        <v>-23999.120000000003</v>
      </c>
      <c r="E50" s="261"/>
      <c r="F50" s="435"/>
      <c r="G50" s="435"/>
      <c r="H50" s="435"/>
      <c r="I50" s="435"/>
    </row>
    <row r="51" spans="1:14" s="283" customFormat="1" ht="17.25" thickBot="1" x14ac:dyDescent="0.35">
      <c r="A51" s="281" t="s">
        <v>138</v>
      </c>
      <c r="B51" s="297">
        <f>SUM(B39:B50)</f>
        <v>528438.58000000007</v>
      </c>
      <c r="C51" s="297">
        <f>SUM(C39:C50)</f>
        <v>429129.40999999992</v>
      </c>
      <c r="D51" s="310">
        <f>SUM(D39:D50)</f>
        <v>-99309.169999999984</v>
      </c>
      <c r="E51" s="301"/>
    </row>
    <row r="52" spans="1:14" s="283" customFormat="1" ht="17.25" thickBot="1" x14ac:dyDescent="0.35">
      <c r="A52" s="411" t="s">
        <v>209</v>
      </c>
      <c r="B52" s="412">
        <v>528438.57999999996</v>
      </c>
      <c r="C52" s="412">
        <v>428694.05</v>
      </c>
      <c r="D52" s="413">
        <f>C52-B52</f>
        <v>-99744.52999999997</v>
      </c>
      <c r="E52" s="301"/>
    </row>
    <row r="53" spans="1:14" x14ac:dyDescent="0.3">
      <c r="B53" s="258"/>
      <c r="C53" s="258"/>
      <c r="D53" s="258"/>
      <c r="E53" s="258"/>
      <c r="F53" s="258"/>
      <c r="G53" s="78"/>
      <c r="H53" s="79"/>
      <c r="I53" s="260"/>
      <c r="J53" s="260"/>
      <c r="K53" s="260"/>
      <c r="L53" s="349"/>
      <c r="M53" s="436"/>
      <c r="N53" s="436"/>
    </row>
    <row r="54" spans="1:14" x14ac:dyDescent="0.3">
      <c r="A54" s="283" t="s">
        <v>181</v>
      </c>
      <c r="B54" s="283"/>
      <c r="C54" s="283"/>
      <c r="D54" s="283"/>
      <c r="E54" s="283"/>
      <c r="F54" s="283"/>
      <c r="G54" s="283"/>
      <c r="H54" s="283"/>
      <c r="I54" s="283" t="s">
        <v>190</v>
      </c>
      <c r="J54" s="283"/>
      <c r="K54" s="283"/>
      <c r="L54" s="283"/>
      <c r="M54" s="283"/>
    </row>
    <row r="55" spans="1:14" x14ac:dyDescent="0.3">
      <c r="A55" s="78"/>
      <c r="B55" s="78"/>
      <c r="C55" s="78"/>
      <c r="D55" s="78"/>
      <c r="E55" s="78"/>
      <c r="F55" s="78"/>
      <c r="G55" s="78"/>
    </row>
    <row r="56" spans="1:14" ht="33.75" thickBot="1" x14ac:dyDescent="0.35">
      <c r="A56" s="284"/>
      <c r="B56" s="350" t="s">
        <v>182</v>
      </c>
      <c r="C56" s="221" t="s">
        <v>183</v>
      </c>
      <c r="D56" s="350" t="s">
        <v>184</v>
      </c>
      <c r="E56" s="285" t="s">
        <v>185</v>
      </c>
      <c r="F56" s="285" t="s">
        <v>186</v>
      </c>
      <c r="G56" s="285" t="s">
        <v>187</v>
      </c>
      <c r="H56" s="370"/>
      <c r="I56" s="286"/>
      <c r="J56" s="285" t="s">
        <v>191</v>
      </c>
      <c r="K56" s="285" t="s">
        <v>192</v>
      </c>
      <c r="L56" s="285" t="s">
        <v>113</v>
      </c>
      <c r="M56" s="285" t="s">
        <v>114</v>
      </c>
    </row>
    <row r="57" spans="1:14" x14ac:dyDescent="0.3">
      <c r="A57" s="79">
        <f>A4</f>
        <v>44197</v>
      </c>
      <c r="B57" s="288">
        <f t="shared" ref="B57:B68" si="12">(B4*1000)+((C4+D4+E4)*2000)</f>
        <v>115000</v>
      </c>
      <c r="C57" s="289">
        <f>Data!CO65</f>
        <v>552.66999999999996</v>
      </c>
      <c r="D57" s="363"/>
      <c r="E57" s="364">
        <f t="shared" ref="E57:E68" si="13">(3900*B4)+((C4+D4+E4)*7800)</f>
        <v>448500</v>
      </c>
      <c r="F57" s="364">
        <f>Data!CP65</f>
        <v>0</v>
      </c>
      <c r="G57" s="365"/>
      <c r="H57" s="371"/>
      <c r="I57" s="79">
        <f>A57</f>
        <v>44197</v>
      </c>
      <c r="J57" s="373">
        <f>SUMPRODUCT(Data!C65:F65,Data!BN65:BQ65)</f>
        <v>82536.399999999994</v>
      </c>
      <c r="K57" s="364">
        <f t="shared" ref="K57:K68" si="14">F21+C57+F57</f>
        <v>76500.719999999987</v>
      </c>
      <c r="L57" s="386">
        <f>K57/J57</f>
        <v>0.92687250716047698</v>
      </c>
      <c r="M57" s="379">
        <f t="shared" ref="M57:M68" si="15">K57/F4</f>
        <v>850.00799999999981</v>
      </c>
    </row>
    <row r="58" spans="1:14" x14ac:dyDescent="0.3">
      <c r="A58" s="79">
        <f>A5</f>
        <v>44228</v>
      </c>
      <c r="B58" s="291">
        <f t="shared" si="12"/>
        <v>114000</v>
      </c>
      <c r="C58" s="258">
        <f>Data!CO66</f>
        <v>2400.59</v>
      </c>
      <c r="D58" s="361"/>
      <c r="E58" s="259">
        <f t="shared" si="13"/>
        <v>444600</v>
      </c>
      <c r="F58" s="259">
        <f>Data!CP66</f>
        <v>0</v>
      </c>
      <c r="G58" s="366"/>
      <c r="H58" s="371"/>
      <c r="I58" s="79">
        <f>A58</f>
        <v>44228</v>
      </c>
      <c r="J58" s="374">
        <f>SUMPRODUCT(Data!C66:F66,Data!BN66:BQ66)</f>
        <v>81330.219999999987</v>
      </c>
      <c r="K58" s="259">
        <f t="shared" si="14"/>
        <v>77199.75</v>
      </c>
      <c r="L58" s="372">
        <f t="shared" ref="L58:L68" si="16">K58/J58</f>
        <v>0.94921358874966788</v>
      </c>
      <c r="M58" s="380">
        <f t="shared" si="15"/>
        <v>857.77499999999998</v>
      </c>
    </row>
    <row r="59" spans="1:14" x14ac:dyDescent="0.3">
      <c r="A59" s="79">
        <f t="shared" ref="A59:A68" si="17">31+A58</f>
        <v>44259</v>
      </c>
      <c r="B59" s="291">
        <f t="shared" si="12"/>
        <v>114000</v>
      </c>
      <c r="C59" s="258">
        <f>Data!CO67</f>
        <v>6032.2800000000007</v>
      </c>
      <c r="D59" s="361"/>
      <c r="E59" s="259">
        <f t="shared" si="13"/>
        <v>444600</v>
      </c>
      <c r="F59" s="259">
        <f>Data!CP67</f>
        <v>0</v>
      </c>
      <c r="G59" s="366"/>
      <c r="H59" s="371"/>
      <c r="I59" s="79">
        <f t="shared" ref="I59:I68" si="18">31+I58</f>
        <v>44259</v>
      </c>
      <c r="J59" s="374">
        <f>SUMPRODUCT(Data!C67:F67,Data!BN67:BQ67)</f>
        <v>81330.219999999987</v>
      </c>
      <c r="K59" s="259">
        <f t="shared" si="14"/>
        <v>80831.44</v>
      </c>
      <c r="L59" s="372">
        <f t="shared" si="16"/>
        <v>0.99386722426178131</v>
      </c>
      <c r="M59" s="380">
        <f t="shared" si="15"/>
        <v>898.12711111111116</v>
      </c>
    </row>
    <row r="60" spans="1:14" x14ac:dyDescent="0.3">
      <c r="A60" s="79">
        <f t="shared" si="17"/>
        <v>44290</v>
      </c>
      <c r="B60" s="291">
        <f t="shared" si="12"/>
        <v>106000</v>
      </c>
      <c r="C60" s="258">
        <f>Data!CO68</f>
        <v>2762.5999999999985</v>
      </c>
      <c r="D60" s="361"/>
      <c r="E60" s="259">
        <f t="shared" si="13"/>
        <v>413400</v>
      </c>
      <c r="F60" s="259">
        <f>Data!CP68</f>
        <v>980.08</v>
      </c>
      <c r="G60" s="366"/>
      <c r="H60" s="371"/>
      <c r="I60" s="79">
        <f t="shared" si="18"/>
        <v>44290</v>
      </c>
      <c r="J60" s="374">
        <f>SUMPRODUCT(Data!C68:F68,Data!BN68:BQ68)</f>
        <v>76013.97</v>
      </c>
      <c r="K60" s="259">
        <f t="shared" si="14"/>
        <v>73683.910000000018</v>
      </c>
      <c r="L60" s="372">
        <f t="shared" si="16"/>
        <v>0.96934695030400353</v>
      </c>
      <c r="M60" s="380">
        <f t="shared" si="15"/>
        <v>866.86952941176492</v>
      </c>
    </row>
    <row r="61" spans="1:14" x14ac:dyDescent="0.3">
      <c r="A61" s="79">
        <f t="shared" si="17"/>
        <v>44321</v>
      </c>
      <c r="B61" s="291">
        <f t="shared" si="12"/>
        <v>104000</v>
      </c>
      <c r="C61" s="258">
        <f>Data!CO69</f>
        <v>2685.9800000000014</v>
      </c>
      <c r="D61" s="361"/>
      <c r="E61" s="259">
        <f t="shared" si="13"/>
        <v>405600</v>
      </c>
      <c r="F61" s="259">
        <f>Data!CP69</f>
        <v>0</v>
      </c>
      <c r="G61" s="366"/>
      <c r="H61" s="371"/>
      <c r="I61" s="79">
        <f t="shared" si="18"/>
        <v>44321</v>
      </c>
      <c r="J61" s="374">
        <f>SUMPRODUCT(Data!C69:F69,Data!BN69:BQ69)</f>
        <v>74614.55</v>
      </c>
      <c r="K61" s="259">
        <f t="shared" si="14"/>
        <v>71342.369999999981</v>
      </c>
      <c r="L61" s="372">
        <f t="shared" si="16"/>
        <v>0.95614555070023177</v>
      </c>
      <c r="M61" s="380">
        <f t="shared" si="15"/>
        <v>859.54662650602381</v>
      </c>
    </row>
    <row r="62" spans="1:14" x14ac:dyDescent="0.3">
      <c r="A62" s="79">
        <f t="shared" si="17"/>
        <v>44352</v>
      </c>
      <c r="B62" s="291">
        <f t="shared" si="12"/>
        <v>101000</v>
      </c>
      <c r="C62" s="258">
        <f>Data!CO70</f>
        <v>3775.9600000000009</v>
      </c>
      <c r="D62" s="361"/>
      <c r="E62" s="259">
        <f t="shared" si="13"/>
        <v>393900</v>
      </c>
      <c r="F62" s="259">
        <f>Data!CP70</f>
        <v>0</v>
      </c>
      <c r="G62" s="366"/>
      <c r="H62" s="371"/>
      <c r="I62" s="79">
        <f t="shared" si="18"/>
        <v>44352</v>
      </c>
      <c r="J62" s="374">
        <f>SUMPRODUCT(Data!C70:F70,Data!BN70:BQ70)</f>
        <v>72008.95</v>
      </c>
      <c r="K62" s="259">
        <f t="shared" si="14"/>
        <v>69998.62000000001</v>
      </c>
      <c r="L62" s="372">
        <f t="shared" si="16"/>
        <v>0.97208222033511127</v>
      </c>
      <c r="M62" s="380">
        <f t="shared" si="15"/>
        <v>864.1804938271606</v>
      </c>
    </row>
    <row r="63" spans="1:14" x14ac:dyDescent="0.3">
      <c r="A63" s="79">
        <f t="shared" si="17"/>
        <v>44383</v>
      </c>
      <c r="B63" s="291">
        <f t="shared" si="12"/>
        <v>99000</v>
      </c>
      <c r="C63" s="258">
        <f>Data!CO71</f>
        <v>3044.4699999999957</v>
      </c>
      <c r="D63" s="361"/>
      <c r="E63" s="259">
        <f t="shared" si="13"/>
        <v>386100</v>
      </c>
      <c r="F63" s="259">
        <f>Data!CP71</f>
        <v>0</v>
      </c>
      <c r="G63" s="366"/>
      <c r="H63" s="371"/>
      <c r="I63" s="79">
        <f t="shared" si="18"/>
        <v>44383</v>
      </c>
      <c r="J63" s="374">
        <f>SUMPRODUCT(Data!C71:F71,Data!BN71:BQ71)</f>
        <v>70703.34</v>
      </c>
      <c r="K63" s="259">
        <f t="shared" si="14"/>
        <v>68076.099999999991</v>
      </c>
      <c r="L63" s="372">
        <f t="shared" si="16"/>
        <v>0.96284135940395454</v>
      </c>
      <c r="M63" s="380">
        <f t="shared" si="15"/>
        <v>850.95124999999985</v>
      </c>
    </row>
    <row r="64" spans="1:14" x14ac:dyDescent="0.3">
      <c r="A64" s="79">
        <f t="shared" si="17"/>
        <v>44414</v>
      </c>
      <c r="B64" s="291">
        <f t="shared" si="12"/>
        <v>99000</v>
      </c>
      <c r="C64" s="258">
        <f>Data!CO72</f>
        <v>183.99000000000535</v>
      </c>
      <c r="D64" s="361"/>
      <c r="E64" s="259">
        <f t="shared" si="13"/>
        <v>386100</v>
      </c>
      <c r="F64" s="259">
        <f>Data!CP72</f>
        <v>0</v>
      </c>
      <c r="G64" s="366"/>
      <c r="H64" s="371"/>
      <c r="I64" s="79">
        <f t="shared" si="18"/>
        <v>44414</v>
      </c>
      <c r="J64" s="374">
        <f>SUMPRODUCT(Data!C72:F72,Data!BN72:BQ72)</f>
        <v>70703.34</v>
      </c>
      <c r="K64" s="259">
        <f t="shared" si="14"/>
        <v>65215.62</v>
      </c>
      <c r="L64" s="372">
        <f t="shared" si="16"/>
        <v>0.92238386475094392</v>
      </c>
      <c r="M64" s="380">
        <f t="shared" si="15"/>
        <v>815.19524999999999</v>
      </c>
    </row>
    <row r="65" spans="1:14" x14ac:dyDescent="0.3">
      <c r="A65" s="79">
        <f t="shared" si="17"/>
        <v>44445</v>
      </c>
      <c r="B65" s="291">
        <f t="shared" si="12"/>
        <v>99000</v>
      </c>
      <c r="C65" s="258">
        <f>Data!CO73</f>
        <v>3089.6199999999972</v>
      </c>
      <c r="D65" s="361"/>
      <c r="E65" s="259">
        <f t="shared" si="13"/>
        <v>386100</v>
      </c>
      <c r="F65" s="259">
        <f>Data!CP73</f>
        <v>50.330000000000041</v>
      </c>
      <c r="G65" s="366"/>
      <c r="H65" s="371"/>
      <c r="I65" s="79">
        <f t="shared" si="18"/>
        <v>44445</v>
      </c>
      <c r="J65" s="374">
        <f>SUMPRODUCT(Data!C73:F73,Data!BN73:BQ73)</f>
        <v>70703.34</v>
      </c>
      <c r="K65" s="259">
        <f t="shared" si="14"/>
        <v>68171.58</v>
      </c>
      <c r="L65" s="372">
        <f t="shared" si="16"/>
        <v>0.96419179065656591</v>
      </c>
      <c r="M65" s="380">
        <f t="shared" si="15"/>
        <v>852.14475000000004</v>
      </c>
    </row>
    <row r="66" spans="1:14" x14ac:dyDescent="0.3">
      <c r="A66" s="79">
        <f t="shared" si="17"/>
        <v>44476</v>
      </c>
      <c r="B66" s="291">
        <f t="shared" si="12"/>
        <v>99000</v>
      </c>
      <c r="C66" s="258">
        <f>Data!CO74</f>
        <v>1549.7400000000052</v>
      </c>
      <c r="D66" s="361"/>
      <c r="E66" s="259">
        <f t="shared" si="13"/>
        <v>386100</v>
      </c>
      <c r="F66" s="259">
        <f>Data!CP74</f>
        <v>5909.63</v>
      </c>
      <c r="G66" s="366"/>
      <c r="H66" s="371"/>
      <c r="I66" s="79">
        <f t="shared" si="18"/>
        <v>44476</v>
      </c>
      <c r="J66" s="374">
        <f>SUMPRODUCT(Data!C74:F74,Data!BN74:BQ74)</f>
        <v>70196.87</v>
      </c>
      <c r="K66" s="259">
        <f t="shared" si="14"/>
        <v>71984.530000000013</v>
      </c>
      <c r="L66" s="372">
        <f t="shared" si="16"/>
        <v>1.0254663776319375</v>
      </c>
      <c r="M66" s="380">
        <f t="shared" si="15"/>
        <v>888.69790123456812</v>
      </c>
    </row>
    <row r="67" spans="1:14" x14ac:dyDescent="0.3">
      <c r="A67" s="79">
        <f t="shared" si="17"/>
        <v>44507</v>
      </c>
      <c r="B67" s="291">
        <f t="shared" si="12"/>
        <v>98000</v>
      </c>
      <c r="C67" s="258">
        <f>Data!CO75</f>
        <v>1044.0399999999936</v>
      </c>
      <c r="D67" s="361"/>
      <c r="E67" s="259">
        <f t="shared" si="13"/>
        <v>382200</v>
      </c>
      <c r="F67" s="259">
        <f>Data!CP75</f>
        <v>0</v>
      </c>
      <c r="G67" s="366"/>
      <c r="H67" s="371"/>
      <c r="I67" s="79">
        <f t="shared" si="18"/>
        <v>44507</v>
      </c>
      <c r="J67" s="374">
        <f>SUMPRODUCT(Data!C75:F75,Data!BN75:BQ75)</f>
        <v>70097.440000000002</v>
      </c>
      <c r="K67" s="259">
        <f t="shared" si="14"/>
        <v>65527.05999999999</v>
      </c>
      <c r="L67" s="372">
        <f t="shared" si="16"/>
        <v>0.93479961607727735</v>
      </c>
      <c r="M67" s="380">
        <f t="shared" si="15"/>
        <v>819.0882499999999</v>
      </c>
    </row>
    <row r="68" spans="1:14" ht="17.25" thickBot="1" x14ac:dyDescent="0.35">
      <c r="A68" s="79">
        <f t="shared" si="17"/>
        <v>44538</v>
      </c>
      <c r="B68" s="293">
        <f t="shared" si="12"/>
        <v>97000</v>
      </c>
      <c r="C68" s="294">
        <f>Data!CO76</f>
        <v>3736.0800000000036</v>
      </c>
      <c r="D68" s="367"/>
      <c r="E68" s="368">
        <f t="shared" si="13"/>
        <v>378300</v>
      </c>
      <c r="F68" s="368">
        <f>Data!CP76</f>
        <v>0</v>
      </c>
      <c r="G68" s="369"/>
      <c r="H68" s="371"/>
      <c r="I68" s="79">
        <f t="shared" si="18"/>
        <v>44538</v>
      </c>
      <c r="J68" s="375">
        <f>SUMPRODUCT(Data!C76:F76,Data!BN76:BQ76)</f>
        <v>69303.92</v>
      </c>
      <c r="K68" s="368">
        <f t="shared" si="14"/>
        <v>67482.87</v>
      </c>
      <c r="L68" s="387">
        <f t="shared" si="16"/>
        <v>0.97372370855789969</v>
      </c>
      <c r="M68" s="388">
        <f t="shared" si="15"/>
        <v>865.16499999999996</v>
      </c>
    </row>
    <row r="69" spans="1:14" x14ac:dyDescent="0.3">
      <c r="A69" s="281" t="s">
        <v>138</v>
      </c>
      <c r="B69" s="297">
        <f>AVERAGE(B57:B68)</f>
        <v>103750</v>
      </c>
      <c r="C69" s="297">
        <f>SUM(C57:C68)</f>
        <v>30858.019999999997</v>
      </c>
      <c r="D69" s="360">
        <f>C69/B69</f>
        <v>0.29742669879518069</v>
      </c>
      <c r="E69" s="297">
        <f>AVERAGE(E57:E68)</f>
        <v>404625</v>
      </c>
      <c r="F69" s="297">
        <f>SUM(F57:F68)</f>
        <v>6940.04</v>
      </c>
      <c r="G69" s="360">
        <f>F69/E69</f>
        <v>1.7151782514674082E-2</v>
      </c>
      <c r="H69" s="360"/>
      <c r="I69" s="281" t="s">
        <v>138</v>
      </c>
      <c r="J69" s="302">
        <f>SUM(J57:J68)</f>
        <v>889542.55999999994</v>
      </c>
      <c r="K69" s="302">
        <f>SUM(K57:K68)</f>
        <v>856014.57</v>
      </c>
      <c r="L69" s="360">
        <f>K69/J69</f>
        <v>0.96230872865712014</v>
      </c>
      <c r="M69" s="362">
        <f>AVERAGE(M57:M68)</f>
        <v>857.31243017421912</v>
      </c>
    </row>
    <row r="71" spans="1:14" s="283" customFormat="1" x14ac:dyDescent="0.3">
      <c r="A71" s="281" t="s">
        <v>196</v>
      </c>
      <c r="B71" s="287"/>
      <c r="C71" s="287"/>
      <c r="D71" s="281" t="s">
        <v>195</v>
      </c>
      <c r="E71" s="287"/>
      <c r="F71" s="287"/>
      <c r="G71" s="287"/>
      <c r="H71" s="287"/>
      <c r="I71" s="287"/>
      <c r="J71" s="287"/>
      <c r="K71" s="281"/>
      <c r="L71" s="287"/>
      <c r="M71" s="287"/>
      <c r="N71" s="287"/>
    </row>
    <row r="72" spans="1:14" s="283" customFormat="1" x14ac:dyDescent="0.3">
      <c r="A72" s="281"/>
      <c r="B72" s="287"/>
      <c r="C72" s="287"/>
      <c r="D72" s="281"/>
      <c r="E72" s="287"/>
      <c r="F72" s="287"/>
      <c r="G72" s="287"/>
      <c r="H72" s="287"/>
      <c r="I72" s="287"/>
      <c r="J72" s="287"/>
      <c r="K72" s="281"/>
      <c r="L72" s="287"/>
      <c r="M72" s="287"/>
      <c r="N72" s="287"/>
    </row>
    <row r="73" spans="1:14" s="286" customFormat="1" ht="33.75" thickBot="1" x14ac:dyDescent="0.35">
      <c r="A73" s="284"/>
      <c r="B73" s="285" t="s">
        <v>193</v>
      </c>
      <c r="C73" s="285"/>
      <c r="D73" s="284"/>
      <c r="E73" s="285" t="s">
        <v>197</v>
      </c>
      <c r="F73" s="284"/>
      <c r="G73" s="285"/>
      <c r="H73" s="285"/>
      <c r="I73" s="285"/>
    </row>
    <row r="74" spans="1:14" x14ac:dyDescent="0.3">
      <c r="A74" s="79">
        <f>A39</f>
        <v>44197</v>
      </c>
      <c r="B74" s="376">
        <f>Data!CQ65</f>
        <v>3474.6</v>
      </c>
      <c r="C74" s="259"/>
      <c r="D74" s="79">
        <f>A74</f>
        <v>44197</v>
      </c>
      <c r="E74" s="389">
        <v>1459.8</v>
      </c>
      <c r="F74" s="79"/>
      <c r="G74" s="258"/>
      <c r="H74" s="261"/>
      <c r="I74" s="259"/>
    </row>
    <row r="75" spans="1:14" x14ac:dyDescent="0.3">
      <c r="A75" s="79">
        <f>31+A74</f>
        <v>44228</v>
      </c>
      <c r="B75" s="377">
        <f>Data!CQ66</f>
        <v>1953.25</v>
      </c>
      <c r="C75" s="259"/>
      <c r="D75" s="79">
        <f>31+D74</f>
        <v>44228</v>
      </c>
      <c r="E75" s="390">
        <v>1439.29</v>
      </c>
      <c r="F75" s="79"/>
      <c r="G75" s="258"/>
      <c r="H75" s="261"/>
      <c r="I75" s="259"/>
    </row>
    <row r="76" spans="1:14" x14ac:dyDescent="0.3">
      <c r="A76" s="79">
        <f t="shared" ref="A76:A85" si="19">31+A75</f>
        <v>44259</v>
      </c>
      <c r="B76" s="377">
        <f>Data!CQ67</f>
        <v>3225</v>
      </c>
      <c r="C76" s="259"/>
      <c r="D76" s="79">
        <f t="shared" ref="D76:D85" si="20">31+D75</f>
        <v>44259</v>
      </c>
      <c r="E76" s="390">
        <v>1439.29</v>
      </c>
      <c r="F76" s="79"/>
      <c r="G76" s="258"/>
      <c r="H76" s="261"/>
      <c r="I76" s="259"/>
    </row>
    <row r="77" spans="1:14" x14ac:dyDescent="0.3">
      <c r="A77" s="79">
        <f t="shared" si="19"/>
        <v>44290</v>
      </c>
      <c r="B77" s="377">
        <f>Data!CQ68</f>
        <v>1100</v>
      </c>
      <c r="C77" s="259"/>
      <c r="D77" s="79">
        <f t="shared" si="20"/>
        <v>44290</v>
      </c>
      <c r="E77" s="390">
        <v>1342.61</v>
      </c>
      <c r="F77" s="79"/>
      <c r="G77" s="258"/>
      <c r="H77" s="261"/>
      <c r="I77" s="259"/>
    </row>
    <row r="78" spans="1:14" x14ac:dyDescent="0.3">
      <c r="A78" s="79">
        <f t="shared" si="19"/>
        <v>44321</v>
      </c>
      <c r="B78" s="377">
        <f>Data!CQ69</f>
        <v>1779</v>
      </c>
      <c r="C78" s="259"/>
      <c r="D78" s="79">
        <f t="shared" si="20"/>
        <v>44321</v>
      </c>
      <c r="E78" s="390">
        <v>1341.36</v>
      </c>
      <c r="F78" s="79"/>
      <c r="G78" s="258"/>
      <c r="H78" s="261"/>
      <c r="I78" s="259"/>
    </row>
    <row r="79" spans="1:14" x14ac:dyDescent="0.3">
      <c r="A79" s="79">
        <f t="shared" si="19"/>
        <v>44352</v>
      </c>
      <c r="B79" s="377">
        <f>Data!CQ70</f>
        <v>1485.2</v>
      </c>
      <c r="C79" s="259"/>
      <c r="D79" s="79">
        <f t="shared" si="20"/>
        <v>44352</v>
      </c>
      <c r="E79" s="390">
        <v>874.27</v>
      </c>
      <c r="F79" s="79"/>
      <c r="G79" s="258"/>
      <c r="H79" s="261"/>
      <c r="I79" s="259"/>
    </row>
    <row r="80" spans="1:14" x14ac:dyDescent="0.3">
      <c r="A80" s="79">
        <f t="shared" si="19"/>
        <v>44383</v>
      </c>
      <c r="B80" s="377">
        <f>Data!CQ71</f>
        <v>1148</v>
      </c>
      <c r="C80" s="259"/>
      <c r="D80" s="79">
        <f t="shared" si="20"/>
        <v>44383</v>
      </c>
      <c r="E80" s="390">
        <v>1308.71</v>
      </c>
      <c r="F80" s="79"/>
      <c r="G80" s="258"/>
      <c r="H80" s="261"/>
      <c r="I80" s="259"/>
    </row>
    <row r="81" spans="1:9" x14ac:dyDescent="0.3">
      <c r="A81" s="79">
        <f t="shared" si="19"/>
        <v>44414</v>
      </c>
      <c r="B81" s="377">
        <f>Data!CQ72</f>
        <v>2657.4</v>
      </c>
      <c r="C81" s="259"/>
      <c r="D81" s="79">
        <f t="shared" si="20"/>
        <v>44414</v>
      </c>
      <c r="E81" s="390">
        <v>1300.3399999999999</v>
      </c>
      <c r="F81" s="79"/>
      <c r="G81" s="258"/>
      <c r="H81" s="261"/>
      <c r="I81" s="259"/>
    </row>
    <row r="82" spans="1:9" x14ac:dyDescent="0.3">
      <c r="A82" s="79">
        <f t="shared" si="19"/>
        <v>44445</v>
      </c>
      <c r="B82" s="377">
        <f>Data!CQ73</f>
        <v>2577.1999999999998</v>
      </c>
      <c r="C82" s="259"/>
      <c r="D82" s="79">
        <f t="shared" si="20"/>
        <v>44445</v>
      </c>
      <c r="E82" s="390">
        <v>1252.22</v>
      </c>
      <c r="F82" s="79"/>
      <c r="G82" s="258"/>
      <c r="H82" s="261"/>
      <c r="I82" s="259"/>
    </row>
    <row r="83" spans="1:9" x14ac:dyDescent="0.3">
      <c r="A83" s="79">
        <f t="shared" si="19"/>
        <v>44476</v>
      </c>
      <c r="B83" s="377">
        <f>Data!CQ74</f>
        <v>200</v>
      </c>
      <c r="C83" s="259"/>
      <c r="D83" s="79">
        <f t="shared" si="20"/>
        <v>44476</v>
      </c>
      <c r="E83" s="390">
        <v>1270.21</v>
      </c>
      <c r="F83" s="79"/>
      <c r="G83" s="258"/>
      <c r="H83" s="261"/>
      <c r="I83" s="259"/>
    </row>
    <row r="84" spans="1:9" x14ac:dyDescent="0.3">
      <c r="A84" s="79">
        <f t="shared" si="19"/>
        <v>44507</v>
      </c>
      <c r="B84" s="377">
        <f>Data!CQ75</f>
        <v>961.5</v>
      </c>
      <c r="C84" s="259"/>
      <c r="D84" s="79">
        <f t="shared" si="20"/>
        <v>44507</v>
      </c>
      <c r="E84" s="390">
        <v>783.73</v>
      </c>
      <c r="F84" s="79"/>
      <c r="G84" s="258"/>
      <c r="H84" s="261"/>
      <c r="I84" s="259"/>
    </row>
    <row r="85" spans="1:9" ht="17.25" thickBot="1" x14ac:dyDescent="0.35">
      <c r="A85" s="79">
        <f t="shared" si="19"/>
        <v>44538</v>
      </c>
      <c r="B85" s="378">
        <f>Data!CQ76</f>
        <v>1526.28</v>
      </c>
      <c r="C85" s="259"/>
      <c r="D85" s="79">
        <f t="shared" si="20"/>
        <v>44538</v>
      </c>
      <c r="E85" s="391">
        <v>1296.57</v>
      </c>
      <c r="F85" s="79"/>
      <c r="G85" s="258"/>
      <c r="H85" s="261"/>
      <c r="I85" s="259"/>
    </row>
    <row r="86" spans="1:9" s="283" customFormat="1" x14ac:dyDescent="0.3">
      <c r="A86" s="281" t="s">
        <v>138</v>
      </c>
      <c r="B86" s="297">
        <f>SUM(B74:B85)</f>
        <v>22087.43</v>
      </c>
      <c r="C86" s="310"/>
      <c r="D86" s="281" t="s">
        <v>143</v>
      </c>
      <c r="E86" s="302">
        <f>SUM(E74:E85)</f>
        <v>15108.399999999998</v>
      </c>
      <c r="F86" s="281"/>
      <c r="G86" s="297"/>
      <c r="H86" s="297"/>
      <c r="I86" s="297"/>
    </row>
  </sheetData>
  <mergeCells count="3">
    <mergeCell ref="M53:N53"/>
    <mergeCell ref="I38:I39"/>
    <mergeCell ref="F49:I50"/>
  </mergeCells>
  <pageMargins left="0.25" right="0.25" top="0.75" bottom="0.75" header="0.3" footer="0.3"/>
  <pageSetup scale="42" orientation="landscape" r:id="rId1"/>
  <headerFooter>
    <oddHeader>&amp;L&amp;"Arial,Bold"&amp;12BELLEVANCE TRUCKING
MONTHLY FINANCIAL REPORT
JANUARY 1, 2022-DECEMBER 31, 2022&amp;R&amp;G</oddHeader>
  </headerFooter>
  <rowBreaks count="1" manualBreakCount="1">
    <brk id="35" max="16383" man="1"/>
  </rowBreaks>
  <ignoredErrors>
    <ignoredError sqref="B21:E32" formulaRange="1"/>
    <ignoredError sqref="D51" formula="1"/>
  </ignoredErrors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E413-225B-48A5-AB72-650F1F9AD8FD}">
  <sheetPr>
    <pageSetUpPr fitToPage="1"/>
  </sheetPr>
  <dimension ref="A1:T86"/>
  <sheetViews>
    <sheetView showGridLines="0" topLeftCell="A13" zoomScaleNormal="100" workbookViewId="0">
      <selection activeCell="L38" sqref="L38"/>
    </sheetView>
  </sheetViews>
  <sheetFormatPr defaultRowHeight="16.5" x14ac:dyDescent="0.3"/>
  <cols>
    <col min="1" max="1" width="16.7109375" style="79" customWidth="1"/>
    <col min="2" max="7" width="16.7109375" style="256" customWidth="1"/>
    <col min="8" max="8" width="14.140625" style="78" customWidth="1"/>
    <col min="9" max="17" width="16.7109375" style="78" customWidth="1"/>
    <col min="18" max="19" width="16.5703125" style="78" customWidth="1"/>
    <col min="20" max="20" width="15" style="78" customWidth="1"/>
    <col min="21" max="16384" width="9.140625" style="78"/>
  </cols>
  <sheetData>
    <row r="1" spans="1:20" x14ac:dyDescent="0.3">
      <c r="A1" s="281" t="s">
        <v>149</v>
      </c>
      <c r="H1" s="256"/>
    </row>
    <row r="2" spans="1:20" x14ac:dyDescent="0.3">
      <c r="H2" s="256"/>
    </row>
    <row r="3" spans="1:20" s="286" customFormat="1" ht="17.25" thickBot="1" x14ac:dyDescent="0.35">
      <c r="A3" s="284"/>
      <c r="B3" s="285" t="s">
        <v>52</v>
      </c>
      <c r="C3" s="285" t="s">
        <v>118</v>
      </c>
      <c r="D3" s="285" t="s">
        <v>119</v>
      </c>
      <c r="E3" s="285" t="s">
        <v>120</v>
      </c>
      <c r="F3" s="285" t="s">
        <v>139</v>
      </c>
      <c r="G3" s="285"/>
      <c r="H3" s="285"/>
      <c r="I3" s="285"/>
      <c r="J3" s="285"/>
      <c r="K3" s="285"/>
      <c r="L3" s="285"/>
      <c r="M3" s="285"/>
      <c r="N3" s="285"/>
      <c r="P3" s="285"/>
      <c r="Q3" s="285"/>
      <c r="R3" s="285"/>
      <c r="S3" s="285"/>
      <c r="T3" s="285"/>
    </row>
    <row r="4" spans="1:20" x14ac:dyDescent="0.3">
      <c r="A4" s="79">
        <v>43831</v>
      </c>
      <c r="B4" s="273">
        <f>Data!C53</f>
        <v>63</v>
      </c>
      <c r="C4" s="274">
        <f>Data!D53</f>
        <v>17</v>
      </c>
      <c r="D4" s="274">
        <f>Data!E53</f>
        <v>3</v>
      </c>
      <c r="E4" s="274">
        <f>Data!F53</f>
        <v>9</v>
      </c>
      <c r="F4" s="275">
        <f>SUM(B4:E4)</f>
        <v>92</v>
      </c>
      <c r="G4" s="257"/>
      <c r="H4" s="79"/>
      <c r="I4" s="257"/>
      <c r="J4" s="257"/>
      <c r="K4" s="257"/>
      <c r="L4" s="257"/>
      <c r="M4" s="257"/>
      <c r="N4" s="257"/>
      <c r="O4" s="79"/>
      <c r="P4" s="257"/>
      <c r="Q4" s="257"/>
      <c r="R4" s="257"/>
      <c r="S4" s="257"/>
      <c r="T4" s="257"/>
    </row>
    <row r="5" spans="1:20" x14ac:dyDescent="0.3">
      <c r="A5" s="79">
        <f>31+A4</f>
        <v>43862</v>
      </c>
      <c r="B5" s="276">
        <f>Data!C54</f>
        <v>66</v>
      </c>
      <c r="C5" s="257">
        <f>Data!D54</f>
        <v>17</v>
      </c>
      <c r="D5" s="257">
        <f>Data!E54</f>
        <v>4</v>
      </c>
      <c r="E5" s="257">
        <f>Data!F54</f>
        <v>8</v>
      </c>
      <c r="F5" s="277">
        <f t="shared" ref="F5:F15" si="0">SUM(B5:E5)</f>
        <v>95</v>
      </c>
      <c r="G5" s="257"/>
      <c r="H5" s="79"/>
      <c r="I5" s="257"/>
      <c r="J5" s="257"/>
      <c r="K5" s="257"/>
      <c r="L5" s="257"/>
      <c r="M5" s="257"/>
      <c r="N5" s="257"/>
      <c r="O5" s="79"/>
      <c r="P5" s="257"/>
      <c r="Q5" s="257"/>
      <c r="R5" s="257"/>
      <c r="S5" s="257"/>
      <c r="T5" s="257"/>
    </row>
    <row r="6" spans="1:20" ht="13.5" customHeight="1" x14ac:dyDescent="0.3">
      <c r="A6" s="79">
        <f t="shared" ref="A6:A15" si="1">31+A5</f>
        <v>43893</v>
      </c>
      <c r="B6" s="276">
        <f>Data!C55</f>
        <v>66</v>
      </c>
      <c r="C6" s="257">
        <f>Data!D55</f>
        <v>17</v>
      </c>
      <c r="D6" s="257">
        <f>Data!E55</f>
        <v>5</v>
      </c>
      <c r="E6" s="257">
        <f>Data!F55</f>
        <v>8</v>
      </c>
      <c r="F6" s="277">
        <f t="shared" si="0"/>
        <v>96</v>
      </c>
      <c r="G6" s="257"/>
      <c r="H6" s="79"/>
      <c r="I6" s="257"/>
      <c r="J6" s="257"/>
      <c r="K6" s="257"/>
      <c r="L6" s="257"/>
      <c r="M6" s="257"/>
      <c r="N6" s="257"/>
      <c r="O6" s="79"/>
      <c r="P6" s="257"/>
      <c r="Q6" s="257"/>
      <c r="R6" s="257"/>
      <c r="S6" s="257"/>
      <c r="T6" s="257"/>
    </row>
    <row r="7" spans="1:20" x14ac:dyDescent="0.3">
      <c r="A7" s="79">
        <f t="shared" si="1"/>
        <v>43924</v>
      </c>
      <c r="B7" s="276">
        <f>Data!C56</f>
        <v>69</v>
      </c>
      <c r="C7" s="257">
        <f>Data!D56</f>
        <v>14</v>
      </c>
      <c r="D7" s="257">
        <f>Data!E56</f>
        <v>5</v>
      </c>
      <c r="E7" s="257">
        <f>Data!F56</f>
        <v>8</v>
      </c>
      <c r="F7" s="277">
        <f t="shared" si="0"/>
        <v>96</v>
      </c>
      <c r="G7" s="257"/>
      <c r="H7" s="79"/>
      <c r="I7" s="257"/>
      <c r="J7" s="257"/>
      <c r="K7" s="257"/>
      <c r="L7" s="257"/>
      <c r="M7" s="257"/>
      <c r="N7" s="257"/>
      <c r="O7" s="79"/>
      <c r="P7" s="257"/>
      <c r="Q7" s="257"/>
      <c r="R7" s="257"/>
      <c r="S7" s="257"/>
      <c r="T7" s="257"/>
    </row>
    <row r="8" spans="1:20" x14ac:dyDescent="0.3">
      <c r="A8" s="79">
        <f t="shared" si="1"/>
        <v>43955</v>
      </c>
      <c r="B8" s="276">
        <f>Data!C57</f>
        <v>70</v>
      </c>
      <c r="C8" s="257">
        <f>Data!D57</f>
        <v>14</v>
      </c>
      <c r="D8" s="257">
        <f>Data!E57</f>
        <v>5</v>
      </c>
      <c r="E8" s="257">
        <f>Data!F57</f>
        <v>9</v>
      </c>
      <c r="F8" s="277">
        <f t="shared" si="0"/>
        <v>98</v>
      </c>
      <c r="G8" s="257"/>
      <c r="H8" s="79"/>
      <c r="I8" s="257"/>
      <c r="J8" s="257"/>
      <c r="K8" s="257"/>
      <c r="L8" s="257"/>
      <c r="M8" s="257"/>
      <c r="N8" s="257"/>
      <c r="O8" s="79"/>
      <c r="P8" s="257"/>
      <c r="Q8" s="257"/>
      <c r="R8" s="257"/>
      <c r="S8" s="257"/>
      <c r="T8" s="257"/>
    </row>
    <row r="9" spans="1:20" x14ac:dyDescent="0.3">
      <c r="A9" s="79">
        <f t="shared" si="1"/>
        <v>43986</v>
      </c>
      <c r="B9" s="276">
        <f>Data!C58</f>
        <v>71</v>
      </c>
      <c r="C9" s="257">
        <f>Data!D58</f>
        <v>13</v>
      </c>
      <c r="D9" s="257">
        <f>Data!E58</f>
        <v>5</v>
      </c>
      <c r="E9" s="257">
        <f>Data!F58</f>
        <v>9</v>
      </c>
      <c r="F9" s="277">
        <f t="shared" si="0"/>
        <v>98</v>
      </c>
      <c r="G9" s="257"/>
      <c r="H9" s="79"/>
      <c r="I9" s="257"/>
      <c r="J9" s="257"/>
      <c r="K9" s="257"/>
      <c r="L9" s="257"/>
      <c r="M9" s="257"/>
      <c r="N9" s="257"/>
      <c r="O9" s="79"/>
      <c r="P9" s="257"/>
      <c r="Q9" s="257"/>
      <c r="R9" s="257"/>
      <c r="S9" s="257"/>
      <c r="T9" s="257"/>
    </row>
    <row r="10" spans="1:20" x14ac:dyDescent="0.3">
      <c r="A10" s="79">
        <f t="shared" si="1"/>
        <v>44017</v>
      </c>
      <c r="B10" s="276">
        <f>Data!C59</f>
        <v>69</v>
      </c>
      <c r="C10" s="257">
        <f>Data!D59</f>
        <v>14</v>
      </c>
      <c r="D10" s="257">
        <f>Data!E59</f>
        <v>5</v>
      </c>
      <c r="E10" s="257">
        <f>Data!F59</f>
        <v>9</v>
      </c>
      <c r="F10" s="277">
        <f t="shared" si="0"/>
        <v>97</v>
      </c>
      <c r="G10" s="257"/>
      <c r="H10" s="79"/>
      <c r="I10" s="257"/>
      <c r="J10" s="257"/>
      <c r="K10" s="257"/>
      <c r="L10" s="257"/>
      <c r="M10" s="257"/>
      <c r="N10" s="257"/>
      <c r="O10" s="79"/>
      <c r="P10" s="257"/>
      <c r="Q10" s="257"/>
      <c r="R10" s="257"/>
      <c r="S10" s="257"/>
      <c r="T10" s="257"/>
    </row>
    <row r="11" spans="1:20" x14ac:dyDescent="0.3">
      <c r="A11" s="79">
        <f t="shared" si="1"/>
        <v>44048</v>
      </c>
      <c r="B11" s="276">
        <f>Data!C60</f>
        <v>70</v>
      </c>
      <c r="C11" s="257">
        <f>Data!D60</f>
        <v>14</v>
      </c>
      <c r="D11" s="257">
        <f>Data!E60</f>
        <v>5</v>
      </c>
      <c r="E11" s="257">
        <f>Data!F60</f>
        <v>9</v>
      </c>
      <c r="F11" s="277">
        <f t="shared" si="0"/>
        <v>98</v>
      </c>
      <c r="G11" s="257"/>
      <c r="H11" s="79"/>
      <c r="I11" s="257"/>
      <c r="J11" s="257"/>
      <c r="K11" s="257"/>
      <c r="L11" s="257"/>
      <c r="M11" s="257"/>
      <c r="N11" s="257"/>
      <c r="O11" s="79"/>
      <c r="P11" s="257"/>
      <c r="Q11" s="257"/>
      <c r="R11" s="257"/>
      <c r="S11" s="257"/>
      <c r="T11" s="257"/>
    </row>
    <row r="12" spans="1:20" x14ac:dyDescent="0.3">
      <c r="A12" s="79">
        <f t="shared" si="1"/>
        <v>44079</v>
      </c>
      <c r="B12" s="276">
        <f>Data!C61</f>
        <v>64</v>
      </c>
      <c r="C12" s="257">
        <f>Data!D61</f>
        <v>13</v>
      </c>
      <c r="D12" s="257">
        <f>Data!E61</f>
        <v>5</v>
      </c>
      <c r="E12" s="257">
        <f>Data!F61</f>
        <v>9</v>
      </c>
      <c r="F12" s="277">
        <f t="shared" si="0"/>
        <v>91</v>
      </c>
      <c r="G12" s="257"/>
      <c r="H12" s="79"/>
      <c r="I12" s="257"/>
      <c r="J12" s="257"/>
      <c r="K12" s="257"/>
      <c r="L12" s="257"/>
      <c r="M12" s="257"/>
      <c r="N12" s="257"/>
      <c r="O12" s="79"/>
      <c r="P12" s="257"/>
      <c r="Q12" s="257"/>
      <c r="R12" s="257"/>
      <c r="S12" s="257"/>
      <c r="T12" s="257"/>
    </row>
    <row r="13" spans="1:20" x14ac:dyDescent="0.3">
      <c r="A13" s="79">
        <f t="shared" si="1"/>
        <v>44110</v>
      </c>
      <c r="B13" s="276">
        <f>Data!C62</f>
        <v>64</v>
      </c>
      <c r="C13" s="257">
        <f>Data!D62</f>
        <v>13</v>
      </c>
      <c r="D13" s="257">
        <f>Data!E62</f>
        <v>6</v>
      </c>
      <c r="E13" s="257">
        <f>Data!F62</f>
        <v>8</v>
      </c>
      <c r="F13" s="277">
        <f t="shared" si="0"/>
        <v>91</v>
      </c>
      <c r="G13" s="257"/>
      <c r="H13" s="79"/>
      <c r="I13" s="257"/>
      <c r="J13" s="257"/>
      <c r="K13" s="257"/>
      <c r="L13" s="257"/>
      <c r="M13" s="257"/>
      <c r="N13" s="257"/>
      <c r="O13" s="79"/>
      <c r="P13" s="257"/>
      <c r="Q13" s="257"/>
      <c r="R13" s="257"/>
      <c r="S13" s="257"/>
      <c r="T13" s="257"/>
    </row>
    <row r="14" spans="1:20" x14ac:dyDescent="0.3">
      <c r="A14" s="79">
        <f t="shared" si="1"/>
        <v>44141</v>
      </c>
      <c r="B14" s="276">
        <f>Data!C63</f>
        <v>63</v>
      </c>
      <c r="C14" s="257">
        <f>Data!D63</f>
        <v>13</v>
      </c>
      <c r="D14" s="257">
        <f>Data!E63</f>
        <v>5</v>
      </c>
      <c r="E14" s="257">
        <f>Data!F63</f>
        <v>8</v>
      </c>
      <c r="F14" s="277">
        <f t="shared" si="0"/>
        <v>89</v>
      </c>
      <c r="G14" s="257"/>
      <c r="H14" s="79"/>
      <c r="I14" s="257"/>
      <c r="J14" s="257"/>
      <c r="K14" s="257"/>
      <c r="L14" s="257"/>
      <c r="M14" s="257"/>
      <c r="N14" s="257"/>
      <c r="O14" s="79"/>
      <c r="P14" s="257"/>
      <c r="Q14" s="257"/>
      <c r="R14" s="257"/>
      <c r="S14" s="257"/>
      <c r="T14" s="257"/>
    </row>
    <row r="15" spans="1:20" ht="17.25" thickBot="1" x14ac:dyDescent="0.35">
      <c r="A15" s="79">
        <f t="shared" si="1"/>
        <v>44172</v>
      </c>
      <c r="B15" s="278">
        <f>Data!C64</f>
        <v>67</v>
      </c>
      <c r="C15" s="279">
        <f>Data!D64</f>
        <v>14</v>
      </c>
      <c r="D15" s="279">
        <f>Data!E64</f>
        <v>4</v>
      </c>
      <c r="E15" s="279">
        <f>Data!F64</f>
        <v>7</v>
      </c>
      <c r="F15" s="280">
        <f t="shared" si="0"/>
        <v>92</v>
      </c>
      <c r="G15" s="257"/>
      <c r="H15" s="79"/>
      <c r="I15" s="257"/>
      <c r="J15" s="257"/>
      <c r="K15" s="257"/>
      <c r="L15" s="257"/>
      <c r="M15" s="257"/>
      <c r="N15" s="257"/>
      <c r="O15" s="79"/>
      <c r="P15" s="257"/>
      <c r="Q15" s="257"/>
      <c r="R15" s="257"/>
      <c r="S15" s="257"/>
      <c r="T15" s="257"/>
    </row>
    <row r="16" spans="1:20" s="283" customFormat="1" x14ac:dyDescent="0.3">
      <c r="A16" s="281" t="s">
        <v>143</v>
      </c>
      <c r="B16" s="282">
        <f>AVERAGE(B4:B15)</f>
        <v>66.833333333333329</v>
      </c>
      <c r="C16" s="282">
        <f>AVERAGE(C4:C15)</f>
        <v>14.416666666666666</v>
      </c>
      <c r="D16" s="282">
        <f>AVERAGE(D4:D15)</f>
        <v>4.75</v>
      </c>
      <c r="E16" s="282">
        <f>AVERAGE(E4:E15)</f>
        <v>8.4166666666666661</v>
      </c>
      <c r="F16" s="282">
        <f>AVERAGE(F4:F15)</f>
        <v>94.416666666666671</v>
      </c>
      <c r="G16" s="282"/>
      <c r="H16" s="281"/>
      <c r="I16" s="282"/>
      <c r="J16" s="282"/>
      <c r="K16" s="282"/>
      <c r="L16" s="282"/>
      <c r="M16" s="282"/>
      <c r="N16" s="282"/>
      <c r="O16" s="281"/>
      <c r="P16" s="282"/>
      <c r="Q16" s="282"/>
      <c r="R16" s="282"/>
      <c r="S16" s="282"/>
      <c r="T16" s="282"/>
    </row>
    <row r="18" spans="1:14" s="283" customFormat="1" x14ac:dyDescent="0.3">
      <c r="A18" s="281" t="s">
        <v>150</v>
      </c>
      <c r="B18" s="287"/>
      <c r="C18" s="287"/>
      <c r="D18" s="287"/>
      <c r="E18" s="287"/>
      <c r="F18" s="287"/>
      <c r="G18" s="287"/>
      <c r="J18" s="281" t="s">
        <v>151</v>
      </c>
      <c r="K18" s="287"/>
      <c r="L18" s="287"/>
      <c r="M18" s="287"/>
      <c r="N18" s="287"/>
    </row>
    <row r="19" spans="1:14" x14ac:dyDescent="0.3">
      <c r="J19" s="79"/>
      <c r="K19" s="256"/>
      <c r="L19" s="256"/>
      <c r="M19" s="256"/>
      <c r="N19" s="256"/>
    </row>
    <row r="20" spans="1:14" s="283" customFormat="1" ht="33.75" thickBot="1" x14ac:dyDescent="0.35">
      <c r="A20" s="284"/>
      <c r="B20" s="285" t="s">
        <v>140</v>
      </c>
      <c r="C20" s="285" t="s">
        <v>141</v>
      </c>
      <c r="D20" s="285" t="s">
        <v>142</v>
      </c>
      <c r="E20" s="285" t="s">
        <v>130</v>
      </c>
      <c r="F20" s="285" t="s">
        <v>179</v>
      </c>
      <c r="G20" s="285" t="s">
        <v>96</v>
      </c>
      <c r="H20" s="285" t="s">
        <v>180</v>
      </c>
      <c r="I20" s="285"/>
      <c r="J20" s="284"/>
      <c r="K20" s="350" t="s">
        <v>148</v>
      </c>
      <c r="L20" s="285" t="s">
        <v>145</v>
      </c>
      <c r="M20" s="285" t="s">
        <v>146</v>
      </c>
    </row>
    <row r="21" spans="1:14" x14ac:dyDescent="0.3">
      <c r="A21" s="79">
        <f>A4</f>
        <v>43831</v>
      </c>
      <c r="B21" s="288">
        <f>SUMPRODUCT(Data!C53:N53,Data!R53:AC53)</f>
        <v>2427.71</v>
      </c>
      <c r="C21" s="289">
        <f>SUMPRODUCT(Data!C53:N53,Data!AD53:AO53)</f>
        <v>27000.06</v>
      </c>
      <c r="D21" s="289">
        <f>SUMPRODUCT(Data!C53:N53,Data!AP53:BA53)</f>
        <v>4701.2300000000005</v>
      </c>
      <c r="E21" s="289">
        <f>SUMPRODUCT(Data!C53:N53,Data!BB53:BM53)</f>
        <v>39972.76</v>
      </c>
      <c r="F21" s="289">
        <f>SUM(B21:E21)</f>
        <v>74101.760000000009</v>
      </c>
      <c r="G21" s="289">
        <f>SUMPRODUCT(Data!C53:F53,Data!BZ53:CC53)</f>
        <v>-37630.666666666672</v>
      </c>
      <c r="H21" s="290">
        <f>F21+G21</f>
        <v>36471.093333333338</v>
      </c>
      <c r="I21" s="258"/>
      <c r="J21" s="79">
        <f>A4</f>
        <v>43831</v>
      </c>
      <c r="K21" s="288">
        <f>Data!CL53</f>
        <v>6709.87</v>
      </c>
      <c r="L21" s="289">
        <f>Data!CN53</f>
        <v>0</v>
      </c>
      <c r="M21" s="290">
        <f>K21+L21</f>
        <v>6709.87</v>
      </c>
    </row>
    <row r="22" spans="1:14" x14ac:dyDescent="0.3">
      <c r="A22" s="79">
        <f>31+A21</f>
        <v>43862</v>
      </c>
      <c r="B22" s="291">
        <f>SUMPRODUCT(Data!C54:N54,Data!R54:AC54)</f>
        <v>2464.0699999999997</v>
      </c>
      <c r="C22" s="258">
        <f>SUMPRODUCT(Data!C54:N54,Data!AD54:AO54)</f>
        <v>27404.309999999998</v>
      </c>
      <c r="D22" s="258">
        <f>SUMPRODUCT(Data!C54:N54,Data!AP54:BA54)</f>
        <v>4771.6099999999997</v>
      </c>
      <c r="E22" s="258">
        <f>SUMPRODUCT(Data!C54:N54,Data!BB54:BM54)</f>
        <v>40571.22</v>
      </c>
      <c r="F22" s="258">
        <f t="shared" ref="F22:F32" si="2">SUM(B22:E22)</f>
        <v>75211.209999999992</v>
      </c>
      <c r="G22" s="258">
        <f>SUMPRODUCT(Data!C54:F54,Data!BZ54:CC54)</f>
        <v>-38276.333333333336</v>
      </c>
      <c r="H22" s="292">
        <f t="shared" ref="H22:H32" si="3">F22+G22</f>
        <v>36934.876666666656</v>
      </c>
      <c r="I22" s="258"/>
      <c r="J22" s="79">
        <f>31+J21</f>
        <v>43862</v>
      </c>
      <c r="K22" s="291">
        <f>Data!CL54</f>
        <v>86767.4</v>
      </c>
      <c r="L22" s="258">
        <f>Data!CN54</f>
        <v>0</v>
      </c>
      <c r="M22" s="292">
        <f t="shared" ref="M22:M32" si="4">K22+L22</f>
        <v>86767.4</v>
      </c>
    </row>
    <row r="23" spans="1:14" x14ac:dyDescent="0.3">
      <c r="A23" s="79">
        <f t="shared" ref="A23:A32" si="5">31+A22</f>
        <v>43893</v>
      </c>
      <c r="B23" s="291">
        <f>SUMPRODUCT(Data!C55:N55,Data!R55:AC55)</f>
        <v>2496.29</v>
      </c>
      <c r="C23" s="258">
        <f>SUMPRODUCT(Data!C55:N55,Data!AD55:AO55)</f>
        <v>27762.590000000004</v>
      </c>
      <c r="D23" s="258">
        <f>SUMPRODUCT(Data!C55:N55,Data!AP55:BA55)</f>
        <v>4833.99</v>
      </c>
      <c r="E23" s="258">
        <f>SUMPRODUCT(Data!C55:N55,Data!BB55:BM55)</f>
        <v>41101.65</v>
      </c>
      <c r="F23" s="258">
        <f t="shared" si="2"/>
        <v>76194.52</v>
      </c>
      <c r="G23" s="258">
        <f>SUMPRODUCT(Data!C55:F55,Data!BZ55:CC55)</f>
        <v>-38796.333333333336</v>
      </c>
      <c r="H23" s="292">
        <f t="shared" si="3"/>
        <v>37398.186666666668</v>
      </c>
      <c r="I23" s="258"/>
      <c r="J23" s="79">
        <f t="shared" ref="J23:J32" si="6">31+J22</f>
        <v>43893</v>
      </c>
      <c r="K23" s="291">
        <f>Data!CL55</f>
        <v>29774.06</v>
      </c>
      <c r="L23" s="258">
        <f>Data!CN55</f>
        <v>0</v>
      </c>
      <c r="M23" s="292">
        <f t="shared" si="4"/>
        <v>29774.06</v>
      </c>
    </row>
    <row r="24" spans="1:14" x14ac:dyDescent="0.3">
      <c r="A24" s="79">
        <f t="shared" si="5"/>
        <v>43924</v>
      </c>
      <c r="B24" s="291">
        <f>SUMPRODUCT(Data!C56:N56,Data!R56:AC56)</f>
        <v>2446.37</v>
      </c>
      <c r="C24" s="258">
        <f>SUMPRODUCT(Data!C56:N56,Data!AD56:AO56)</f>
        <v>27207.29</v>
      </c>
      <c r="D24" s="258">
        <f>SUMPRODUCT(Data!C56:N56,Data!AP56:BA56)</f>
        <v>4737.3</v>
      </c>
      <c r="E24" s="258">
        <f>SUMPRODUCT(Data!C56:N56,Data!BB56:BM56)</f>
        <v>40279.560000000005</v>
      </c>
      <c r="F24" s="258">
        <f t="shared" si="2"/>
        <v>74670.52</v>
      </c>
      <c r="G24" s="258">
        <f>SUMPRODUCT(Data!C56:F56,Data!BZ56:CC56)</f>
        <v>-37795.333333333336</v>
      </c>
      <c r="H24" s="292">
        <f t="shared" si="3"/>
        <v>36875.186666666668</v>
      </c>
      <c r="I24" s="258"/>
      <c r="J24" s="79">
        <f t="shared" si="6"/>
        <v>43924</v>
      </c>
      <c r="K24" s="291">
        <f>Data!CL56</f>
        <v>38431.78</v>
      </c>
      <c r="L24" s="258">
        <f>Data!CN56</f>
        <v>0</v>
      </c>
      <c r="M24" s="292">
        <f t="shared" si="4"/>
        <v>38431.78</v>
      </c>
    </row>
    <row r="25" spans="1:14" x14ac:dyDescent="0.3">
      <c r="A25" s="79">
        <f t="shared" si="5"/>
        <v>43955</v>
      </c>
      <c r="B25" s="291">
        <f>SUMPRODUCT(Data!C57:N57,Data!R57:AC57)</f>
        <v>2520.1899999999996</v>
      </c>
      <c r="C25" s="258">
        <f>SUMPRODUCT(Data!C57:N57,Data!AD57:AO57)</f>
        <v>28028.320000000003</v>
      </c>
      <c r="D25" s="258">
        <f>SUMPRODUCT(Data!C57:N57,Data!AP57:BA57)</f>
        <v>4880.26</v>
      </c>
      <c r="E25" s="258">
        <f>SUMPRODUCT(Data!C57:N57,Data!BB57:BM57)</f>
        <v>41495.090000000004</v>
      </c>
      <c r="F25" s="258">
        <f t="shared" si="2"/>
        <v>76923.860000000015</v>
      </c>
      <c r="G25" s="258">
        <f>SUMPRODUCT(Data!C57:F57,Data!BZ57:CC57)</f>
        <v>-38848.333333333336</v>
      </c>
      <c r="H25" s="292">
        <f t="shared" si="3"/>
        <v>38075.526666666679</v>
      </c>
      <c r="I25" s="258"/>
      <c r="J25" s="79">
        <f t="shared" si="6"/>
        <v>43955</v>
      </c>
      <c r="K25" s="291">
        <f>Data!CL57</f>
        <v>42936.27</v>
      </c>
      <c r="L25" s="258">
        <f>Data!CN57</f>
        <v>0</v>
      </c>
      <c r="M25" s="292">
        <f t="shared" si="4"/>
        <v>42936.27</v>
      </c>
    </row>
    <row r="26" spans="1:14" x14ac:dyDescent="0.3">
      <c r="A26" s="79">
        <f t="shared" si="5"/>
        <v>43986</v>
      </c>
      <c r="B26" s="291">
        <f>SUMPRODUCT(Data!C58:N58,Data!R58:AC58)</f>
        <v>2503.5499999999997</v>
      </c>
      <c r="C26" s="258">
        <f>SUMPRODUCT(Data!C58:N58,Data!AD58:AO58)</f>
        <v>27843.22</v>
      </c>
      <c r="D26" s="258">
        <f>SUMPRODUCT(Data!C58:N58,Data!AP58:BA58)</f>
        <v>4848.0300000000007</v>
      </c>
      <c r="E26" s="258">
        <f>SUMPRODUCT(Data!C58:N58,Data!BB58:BM58)</f>
        <v>41221.06</v>
      </c>
      <c r="F26" s="258">
        <f t="shared" si="2"/>
        <v>76415.86</v>
      </c>
      <c r="G26" s="258">
        <f>SUMPRODUCT(Data!C58:F58,Data!BZ58:CC58)</f>
        <v>-38514.666666666672</v>
      </c>
      <c r="H26" s="292">
        <f t="shared" si="3"/>
        <v>37901.193333333329</v>
      </c>
      <c r="I26" s="258"/>
      <c r="J26" s="79">
        <f t="shared" si="6"/>
        <v>43986</v>
      </c>
      <c r="K26" s="291">
        <f>Data!CL58</f>
        <v>75544.23</v>
      </c>
      <c r="L26" s="258">
        <f>Data!CN58</f>
        <v>-3063.28</v>
      </c>
      <c r="M26" s="292">
        <f t="shared" si="4"/>
        <v>72480.95</v>
      </c>
    </row>
    <row r="27" spans="1:14" x14ac:dyDescent="0.3">
      <c r="A27" s="79">
        <f t="shared" si="5"/>
        <v>44017</v>
      </c>
      <c r="B27" s="291">
        <f>SUMPRODUCT(Data!C59:N59,Data!R59:AC59)</f>
        <v>2500.6999999999998</v>
      </c>
      <c r="C27" s="258">
        <f>SUMPRODUCT(Data!C59:N59,Data!AD59:AO59)</f>
        <v>27811.570000000003</v>
      </c>
      <c r="D27" s="258">
        <f>SUMPRODUCT(Data!C59:N59,Data!AP59:BA59)</f>
        <v>4842.5200000000004</v>
      </c>
      <c r="E27" s="258">
        <f>SUMPRODUCT(Data!C59:N59,Data!BB59:BM59)</f>
        <v>41174.200000000004</v>
      </c>
      <c r="F27" s="258">
        <f t="shared" si="2"/>
        <v>76328.99000000002</v>
      </c>
      <c r="G27" s="258">
        <f>SUMPRODUCT(Data!C59:F59,Data!BZ59:CC59)</f>
        <v>-38553.666666666672</v>
      </c>
      <c r="H27" s="292">
        <f t="shared" si="3"/>
        <v>37775.323333333348</v>
      </c>
      <c r="I27" s="258"/>
      <c r="J27" s="79">
        <f t="shared" si="6"/>
        <v>44017</v>
      </c>
      <c r="K27" s="291">
        <f>Data!CL59</f>
        <v>36958.01</v>
      </c>
      <c r="L27" s="258">
        <f>Data!CN59</f>
        <v>-67.059999999999945</v>
      </c>
      <c r="M27" s="292">
        <f t="shared" si="4"/>
        <v>36890.950000000004</v>
      </c>
    </row>
    <row r="28" spans="1:14" x14ac:dyDescent="0.3">
      <c r="A28" s="79">
        <f t="shared" si="5"/>
        <v>44048</v>
      </c>
      <c r="B28" s="291">
        <f>SUMPRODUCT(Data!C60:N60,Data!R60:AC60)</f>
        <v>2520.1899999999996</v>
      </c>
      <c r="C28" s="258">
        <f>SUMPRODUCT(Data!C60:N60,Data!AD60:AO60)</f>
        <v>28028.320000000003</v>
      </c>
      <c r="D28" s="258">
        <f>SUMPRODUCT(Data!C60:N60,Data!AP60:BA60)</f>
        <v>4880.26</v>
      </c>
      <c r="E28" s="258">
        <f>SUMPRODUCT(Data!C60:N60,Data!BB60:BM60)</f>
        <v>41495.090000000004</v>
      </c>
      <c r="F28" s="258">
        <f t="shared" si="2"/>
        <v>76923.860000000015</v>
      </c>
      <c r="G28" s="258">
        <f>SUMPRODUCT(Data!C60:F60,Data!BZ60:CC60)</f>
        <v>-38848.333333333336</v>
      </c>
      <c r="H28" s="292">
        <f t="shared" si="3"/>
        <v>38075.526666666679</v>
      </c>
      <c r="I28" s="258"/>
      <c r="J28" s="79">
        <f t="shared" si="6"/>
        <v>44048</v>
      </c>
      <c r="K28" s="291">
        <f>Data!CL60</f>
        <v>54660.85</v>
      </c>
      <c r="L28" s="258">
        <f>Data!CN60</f>
        <v>-10741.68</v>
      </c>
      <c r="M28" s="292">
        <f t="shared" si="4"/>
        <v>43919.17</v>
      </c>
    </row>
    <row r="29" spans="1:14" x14ac:dyDescent="0.3">
      <c r="A29" s="79">
        <f t="shared" si="5"/>
        <v>44079</v>
      </c>
      <c r="B29" s="291">
        <f>SUMPRODUCT(Data!C61:N61,Data!R61:AC61)</f>
        <v>2367.12</v>
      </c>
      <c r="C29" s="258">
        <f>SUMPRODUCT(Data!C61:N61,Data!AD61:AO61)</f>
        <v>26325.97</v>
      </c>
      <c r="D29" s="258">
        <f>SUMPRODUCT(Data!C61:N61,Data!AP61:BA61)</f>
        <v>4583.8500000000004</v>
      </c>
      <c r="E29" s="258">
        <f>SUMPRODUCT(Data!C61:N61,Data!BB61:BM61)</f>
        <v>38974.83</v>
      </c>
      <c r="F29" s="258">
        <f t="shared" si="2"/>
        <v>72251.77</v>
      </c>
      <c r="G29" s="258">
        <f>SUMPRODUCT(Data!C61:F61,Data!BZ61:CC61)</f>
        <v>-36452</v>
      </c>
      <c r="H29" s="292">
        <f t="shared" si="3"/>
        <v>35799.770000000004</v>
      </c>
      <c r="I29" s="258"/>
      <c r="J29" s="79">
        <f t="shared" si="6"/>
        <v>44079</v>
      </c>
      <c r="K29" s="291">
        <f>Data!CL61</f>
        <v>42864.77</v>
      </c>
      <c r="L29" s="258">
        <f>Data!CN61</f>
        <v>-11455.05</v>
      </c>
      <c r="M29" s="292">
        <f t="shared" si="4"/>
        <v>31409.719999999998</v>
      </c>
    </row>
    <row r="30" spans="1:14" x14ac:dyDescent="0.3">
      <c r="A30" s="79">
        <f t="shared" si="5"/>
        <v>44110</v>
      </c>
      <c r="B30" s="291">
        <f>SUMPRODUCT(Data!C62:N62,Data!R62:AC62)</f>
        <v>2345.0099999999998</v>
      </c>
      <c r="C30" s="258">
        <f>SUMPRODUCT(Data!C62:N62,Data!AD62:AO62)</f>
        <v>26079.97</v>
      </c>
      <c r="D30" s="258">
        <f>SUMPRODUCT(Data!C62:N62,Data!AP62:BA62)</f>
        <v>4541.01</v>
      </c>
      <c r="E30" s="258">
        <f>SUMPRODUCT(Data!C62:N62,Data!BB62:BM62)</f>
        <v>38610.620000000003</v>
      </c>
      <c r="F30" s="258">
        <f t="shared" si="2"/>
        <v>71576.61</v>
      </c>
      <c r="G30" s="258">
        <f>SUMPRODUCT(Data!C62:F62,Data!BZ62:CC62)</f>
        <v>-36213.666666666664</v>
      </c>
      <c r="H30" s="292">
        <f t="shared" si="3"/>
        <v>35362.943333333336</v>
      </c>
      <c r="I30" s="258"/>
      <c r="J30" s="79">
        <f t="shared" si="6"/>
        <v>44110</v>
      </c>
      <c r="K30" s="291">
        <f>Data!CL62</f>
        <v>54590.07</v>
      </c>
      <c r="L30" s="258">
        <f>Data!CN62</f>
        <v>-29910.379999999997</v>
      </c>
      <c r="M30" s="292">
        <f t="shared" si="4"/>
        <v>24679.690000000002</v>
      </c>
    </row>
    <row r="31" spans="1:14" x14ac:dyDescent="0.3">
      <c r="A31" s="79">
        <f t="shared" si="5"/>
        <v>44141</v>
      </c>
      <c r="B31" s="291">
        <f>SUMPRODUCT(Data!C63:N63,Data!R63:AC63)</f>
        <v>2293.2999999999997</v>
      </c>
      <c r="C31" s="258">
        <f>SUMPRODUCT(Data!C63:N63,Data!AD63:AO63)</f>
        <v>25504.940000000002</v>
      </c>
      <c r="D31" s="258">
        <f>SUMPRODUCT(Data!C63:N63,Data!AP63:BA63)</f>
        <v>4440.8900000000003</v>
      </c>
      <c r="E31" s="258">
        <f>SUMPRODUCT(Data!C63:N63,Data!BB63:BM63)</f>
        <v>37759.300000000003</v>
      </c>
      <c r="F31" s="258">
        <f t="shared" si="2"/>
        <v>69998.430000000008</v>
      </c>
      <c r="G31" s="258">
        <f>SUMPRODUCT(Data!C63:F63,Data!BZ63:CC63)</f>
        <v>-35399</v>
      </c>
      <c r="H31" s="292">
        <f t="shared" si="3"/>
        <v>34599.430000000008</v>
      </c>
      <c r="I31" s="258"/>
      <c r="J31" s="79">
        <f t="shared" si="6"/>
        <v>44141</v>
      </c>
      <c r="K31" s="291">
        <f>Data!CL63</f>
        <v>33005.910000000003</v>
      </c>
      <c r="L31" s="258">
        <f>Data!CN63</f>
        <v>-12880.61</v>
      </c>
      <c r="M31" s="292">
        <f t="shared" si="4"/>
        <v>20125.300000000003</v>
      </c>
    </row>
    <row r="32" spans="1:14" ht="17.25" thickBot="1" x14ac:dyDescent="0.35">
      <c r="A32" s="79">
        <f t="shared" si="5"/>
        <v>44172</v>
      </c>
      <c r="B32" s="293">
        <f>SUMPRODUCT(Data!C64:N64,Data!R64:AC64)</f>
        <v>2320.84</v>
      </c>
      <c r="C32" s="294">
        <f>SUMPRODUCT(Data!C64:N64,Data!AD64:AO64)</f>
        <v>25811.23</v>
      </c>
      <c r="D32" s="294">
        <f>SUMPRODUCT(Data!C64:N64,Data!AP64:BA64)</f>
        <v>4494.2199999999993</v>
      </c>
      <c r="E32" s="294">
        <f>SUMPRODUCT(Data!C64:N64,Data!BB64:BM64)</f>
        <v>38212.709999999992</v>
      </c>
      <c r="F32" s="294">
        <f t="shared" si="2"/>
        <v>70839</v>
      </c>
      <c r="G32" s="294">
        <f>SUMPRODUCT(Data!C64:F64,Data!BZ64:CC64)</f>
        <v>-35927.666666666672</v>
      </c>
      <c r="H32" s="295">
        <f t="shared" si="3"/>
        <v>34911.333333333328</v>
      </c>
      <c r="I32" s="258"/>
      <c r="J32" s="79">
        <f t="shared" si="6"/>
        <v>44172</v>
      </c>
      <c r="K32" s="293">
        <f>Data!CL64</f>
        <v>82660.350000000006</v>
      </c>
      <c r="L32" s="294">
        <f>Data!CN64</f>
        <v>-9148.7799999999988</v>
      </c>
      <c r="M32" s="295">
        <f t="shared" si="4"/>
        <v>73511.570000000007</v>
      </c>
    </row>
    <row r="33" spans="1:13" s="283" customFormat="1" x14ac:dyDescent="0.3">
      <c r="A33" s="281" t="s">
        <v>138</v>
      </c>
      <c r="B33" s="297">
        <f>SUM(B21:B32)</f>
        <v>29205.339999999993</v>
      </c>
      <c r="C33" s="297">
        <f t="shared" ref="C33:H33" si="7">SUM(C21:C32)</f>
        <v>324807.78999999998</v>
      </c>
      <c r="D33" s="297">
        <f t="shared" si="7"/>
        <v>56555.170000000006</v>
      </c>
      <c r="E33" s="297">
        <f t="shared" si="7"/>
        <v>480868.08999999997</v>
      </c>
      <c r="F33" s="297">
        <f t="shared" si="7"/>
        <v>891436.39</v>
      </c>
      <c r="G33" s="297">
        <f t="shared" si="7"/>
        <v>-451256.00000000006</v>
      </c>
      <c r="H33" s="297">
        <f t="shared" si="7"/>
        <v>440180.39000000007</v>
      </c>
      <c r="I33" s="297"/>
      <c r="J33" s="281" t="s">
        <v>138</v>
      </c>
      <c r="K33" s="297">
        <f>SUM(K21:K32)</f>
        <v>584903.56999999995</v>
      </c>
      <c r="L33" s="297">
        <f>SUM(L21:L32)</f>
        <v>-77266.84</v>
      </c>
      <c r="M33" s="297">
        <f>SUM(M21:M32)</f>
        <v>507636.72999999992</v>
      </c>
    </row>
    <row r="36" spans="1:13" s="283" customFormat="1" x14ac:dyDescent="0.3">
      <c r="A36" s="281" t="s">
        <v>144</v>
      </c>
      <c r="B36" s="287"/>
      <c r="C36" s="287"/>
      <c r="D36" s="287"/>
      <c r="E36" s="287"/>
    </row>
    <row r="38" spans="1:13" s="286" customFormat="1" ht="33.75" thickBot="1" x14ac:dyDescent="0.35">
      <c r="A38" s="284"/>
      <c r="B38" s="350" t="s">
        <v>210</v>
      </c>
      <c r="C38" s="221" t="s">
        <v>147</v>
      </c>
      <c r="D38" s="350" t="s">
        <v>131</v>
      </c>
      <c r="E38" s="350"/>
      <c r="F38" s="397"/>
      <c r="G38" s="397"/>
      <c r="H38" s="398"/>
      <c r="I38" s="434" t="s">
        <v>198</v>
      </c>
    </row>
    <row r="39" spans="1:13" ht="17.25" thickBot="1" x14ac:dyDescent="0.35">
      <c r="A39" s="79">
        <f>A4</f>
        <v>43831</v>
      </c>
      <c r="B39" s="288">
        <f>K21</f>
        <v>6709.87</v>
      </c>
      <c r="C39" s="289">
        <f>E21</f>
        <v>39972.76</v>
      </c>
      <c r="D39" s="298">
        <f>C39-B39</f>
        <v>33262.89</v>
      </c>
      <c r="E39" s="261"/>
      <c r="F39" s="399"/>
      <c r="G39" s="399"/>
      <c r="H39" s="400"/>
      <c r="I39" s="434"/>
    </row>
    <row r="40" spans="1:13" ht="17.25" thickBot="1" x14ac:dyDescent="0.35">
      <c r="A40" s="79">
        <f>31+A39</f>
        <v>43862</v>
      </c>
      <c r="B40" s="291">
        <f t="shared" ref="B40:B50" si="8">K22</f>
        <v>86767.4</v>
      </c>
      <c r="C40" s="258">
        <f t="shared" ref="C40:C50" si="9">E22</f>
        <v>40571.22</v>
      </c>
      <c r="D40" s="299">
        <f t="shared" ref="D40:D50" si="10">C40-B40</f>
        <v>-46196.179999999993</v>
      </c>
      <c r="E40" s="261"/>
      <c r="F40" s="401" t="s">
        <v>68</v>
      </c>
      <c r="G40" s="402" t="s">
        <v>131</v>
      </c>
      <c r="H40" s="290">
        <f>D51</f>
        <v>-104035.47999999998</v>
      </c>
      <c r="I40" s="414">
        <f>D52</f>
        <v>-152388.59999999998</v>
      </c>
    </row>
    <row r="41" spans="1:13" x14ac:dyDescent="0.3">
      <c r="A41" s="79">
        <f t="shared" ref="A41:A50" si="11">31+A40</f>
        <v>43893</v>
      </c>
      <c r="B41" s="291">
        <f t="shared" si="8"/>
        <v>29774.06</v>
      </c>
      <c r="C41" s="258">
        <f t="shared" si="9"/>
        <v>41101.65</v>
      </c>
      <c r="D41" s="299">
        <f t="shared" si="10"/>
        <v>11327.59</v>
      </c>
      <c r="E41" s="261"/>
      <c r="F41" s="403" t="s">
        <v>69</v>
      </c>
      <c r="G41" s="404" t="s">
        <v>199</v>
      </c>
      <c r="H41" s="292">
        <f>(25%*C49)</f>
        <v>9439.8250000000007</v>
      </c>
      <c r="I41" s="208"/>
    </row>
    <row r="42" spans="1:13" ht="17.25" thickBot="1" x14ac:dyDescent="0.35">
      <c r="A42" s="79">
        <f t="shared" si="11"/>
        <v>43924</v>
      </c>
      <c r="B42" s="291">
        <f t="shared" si="8"/>
        <v>38431.78</v>
      </c>
      <c r="C42" s="258">
        <f t="shared" si="9"/>
        <v>40279.560000000005</v>
      </c>
      <c r="D42" s="299">
        <f t="shared" si="10"/>
        <v>1847.7800000000061</v>
      </c>
      <c r="E42" s="261"/>
      <c r="F42" s="403" t="s">
        <v>70</v>
      </c>
      <c r="G42" s="404" t="s">
        <v>200</v>
      </c>
      <c r="H42" s="292">
        <f>50%*C50</f>
        <v>19106.354999999996</v>
      </c>
      <c r="I42" s="208"/>
    </row>
    <row r="43" spans="1:13" ht="17.25" thickBot="1" x14ac:dyDescent="0.35">
      <c r="A43" s="79">
        <f t="shared" si="11"/>
        <v>43955</v>
      </c>
      <c r="B43" s="291">
        <f t="shared" si="8"/>
        <v>42936.27</v>
      </c>
      <c r="C43" s="258">
        <f t="shared" si="9"/>
        <v>41495.090000000004</v>
      </c>
      <c r="D43" s="299">
        <f t="shared" si="10"/>
        <v>-1441.179999999993</v>
      </c>
      <c r="E43" s="261"/>
      <c r="F43" s="403" t="s">
        <v>201</v>
      </c>
      <c r="G43" s="404" t="s">
        <v>202</v>
      </c>
      <c r="H43" s="292">
        <f>H41+H42</f>
        <v>28546.179999999997</v>
      </c>
      <c r="I43" s="414">
        <v>0</v>
      </c>
    </row>
    <row r="44" spans="1:13" x14ac:dyDescent="0.3">
      <c r="A44" s="79">
        <f t="shared" si="11"/>
        <v>43986</v>
      </c>
      <c r="B44" s="291">
        <f t="shared" si="8"/>
        <v>75544.23</v>
      </c>
      <c r="C44" s="258">
        <f t="shared" si="9"/>
        <v>41221.06</v>
      </c>
      <c r="D44" s="299">
        <f t="shared" si="10"/>
        <v>-34323.17</v>
      </c>
      <c r="E44" s="261"/>
      <c r="F44" s="403"/>
      <c r="G44" s="404"/>
      <c r="H44" s="292"/>
      <c r="I44" s="377"/>
    </row>
    <row r="45" spans="1:13" x14ac:dyDescent="0.3">
      <c r="A45" s="79">
        <f t="shared" si="11"/>
        <v>44017</v>
      </c>
      <c r="B45" s="291">
        <f t="shared" si="8"/>
        <v>36958.01</v>
      </c>
      <c r="C45" s="258">
        <f t="shared" si="9"/>
        <v>41174.200000000004</v>
      </c>
      <c r="D45" s="299">
        <f t="shared" si="10"/>
        <v>4216.1900000000023</v>
      </c>
      <c r="E45" s="261"/>
      <c r="F45" s="403" t="s">
        <v>203</v>
      </c>
      <c r="G45" s="404" t="s">
        <v>204</v>
      </c>
      <c r="H45" s="292">
        <f>H40-H43</f>
        <v>-132581.65999999997</v>
      </c>
      <c r="I45" s="377">
        <f>I40-I43</f>
        <v>-152388.59999999998</v>
      </c>
    </row>
    <row r="46" spans="1:13" ht="17.25" thickBot="1" x14ac:dyDescent="0.35">
      <c r="A46" s="79">
        <f t="shared" si="11"/>
        <v>44048</v>
      </c>
      <c r="B46" s="291">
        <f t="shared" si="8"/>
        <v>54660.85</v>
      </c>
      <c r="C46" s="258">
        <f t="shared" si="9"/>
        <v>41495.090000000004</v>
      </c>
      <c r="D46" s="299">
        <f t="shared" si="10"/>
        <v>-13165.759999999995</v>
      </c>
      <c r="E46" s="261"/>
      <c r="F46" s="403" t="s">
        <v>205</v>
      </c>
      <c r="G46" s="404" t="s">
        <v>206</v>
      </c>
      <c r="H46" s="405">
        <v>0.5</v>
      </c>
      <c r="I46" s="406">
        <v>0.5</v>
      </c>
    </row>
    <row r="47" spans="1:13" ht="17.25" thickBot="1" x14ac:dyDescent="0.35">
      <c r="A47" s="79">
        <f t="shared" si="11"/>
        <v>44079</v>
      </c>
      <c r="B47" s="291">
        <f t="shared" si="8"/>
        <v>42864.77</v>
      </c>
      <c r="C47" s="258">
        <f t="shared" si="9"/>
        <v>38974.83</v>
      </c>
      <c r="D47" s="299">
        <f t="shared" si="10"/>
        <v>-3889.9399999999951</v>
      </c>
      <c r="E47" s="261"/>
      <c r="F47" s="407" t="s">
        <v>207</v>
      </c>
      <c r="G47" s="408" t="s">
        <v>208</v>
      </c>
      <c r="H47" s="410">
        <f>H45*H46</f>
        <v>-66290.829999999987</v>
      </c>
      <c r="I47" s="227">
        <v>0</v>
      </c>
    </row>
    <row r="48" spans="1:13" x14ac:dyDescent="0.3">
      <c r="A48" s="79">
        <f t="shared" si="11"/>
        <v>44110</v>
      </c>
      <c r="B48" s="291">
        <f t="shared" si="8"/>
        <v>54590.07</v>
      </c>
      <c r="C48" s="258">
        <f t="shared" si="9"/>
        <v>38610.620000000003</v>
      </c>
      <c r="D48" s="299">
        <f t="shared" si="10"/>
        <v>-15979.449999999997</v>
      </c>
      <c r="E48" s="261"/>
      <c r="F48" s="409"/>
      <c r="G48" s="409"/>
      <c r="H48" s="409"/>
      <c r="I48" s="400"/>
    </row>
    <row r="49" spans="1:14" ht="16.5" customHeight="1" x14ac:dyDescent="0.3">
      <c r="A49" s="79">
        <f t="shared" si="11"/>
        <v>44141</v>
      </c>
      <c r="B49" s="291">
        <f t="shared" si="8"/>
        <v>33005.910000000003</v>
      </c>
      <c r="C49" s="258">
        <f t="shared" si="9"/>
        <v>37759.300000000003</v>
      </c>
      <c r="D49" s="299">
        <f t="shared" si="10"/>
        <v>4753.3899999999994</v>
      </c>
      <c r="E49" s="261"/>
      <c r="F49" s="435" t="s">
        <v>211</v>
      </c>
      <c r="G49" s="435"/>
      <c r="H49" s="435"/>
      <c r="I49" s="435"/>
    </row>
    <row r="50" spans="1:14" ht="17.25" thickBot="1" x14ac:dyDescent="0.35">
      <c r="A50" s="79">
        <f t="shared" si="11"/>
        <v>44172</v>
      </c>
      <c r="B50" s="293">
        <f t="shared" si="8"/>
        <v>82660.350000000006</v>
      </c>
      <c r="C50" s="294">
        <f t="shared" si="9"/>
        <v>38212.709999999992</v>
      </c>
      <c r="D50" s="300">
        <f t="shared" si="10"/>
        <v>-44447.640000000014</v>
      </c>
      <c r="E50" s="261"/>
      <c r="F50" s="435"/>
      <c r="G50" s="435"/>
      <c r="H50" s="435"/>
      <c r="I50" s="435"/>
    </row>
    <row r="51" spans="1:14" s="283" customFormat="1" ht="17.25" thickBot="1" x14ac:dyDescent="0.35">
      <c r="A51" s="281" t="s">
        <v>138</v>
      </c>
      <c r="B51" s="297">
        <f>SUM(B39:B50)</f>
        <v>584903.56999999995</v>
      </c>
      <c r="C51" s="297">
        <f>SUM(C39:C50)</f>
        <v>480868.08999999997</v>
      </c>
      <c r="D51" s="310">
        <f>SUM(D39:D50)</f>
        <v>-104035.47999999998</v>
      </c>
      <c r="E51" s="301"/>
    </row>
    <row r="52" spans="1:14" ht="17.25" thickBot="1" x14ac:dyDescent="0.35">
      <c r="A52" s="411" t="s">
        <v>209</v>
      </c>
      <c r="B52" s="412">
        <v>584903.56999999995</v>
      </c>
      <c r="C52" s="412">
        <v>432514.97</v>
      </c>
      <c r="D52" s="413">
        <f>C52-B52</f>
        <v>-152388.59999999998</v>
      </c>
      <c r="E52" s="258"/>
      <c r="F52" s="258"/>
      <c r="G52" s="78"/>
      <c r="H52" s="79"/>
      <c r="I52" s="260"/>
      <c r="J52" s="260"/>
      <c r="K52" s="260"/>
      <c r="L52" s="349"/>
      <c r="M52" s="436"/>
      <c r="N52" s="436"/>
    </row>
    <row r="53" spans="1:14" x14ac:dyDescent="0.3">
      <c r="B53" s="258"/>
      <c r="C53" s="258"/>
      <c r="D53" s="258"/>
      <c r="E53" s="258"/>
      <c r="F53" s="258"/>
      <c r="G53" s="78"/>
      <c r="H53" s="79"/>
      <c r="I53" s="260"/>
      <c r="J53" s="260"/>
      <c r="K53" s="260"/>
      <c r="L53" s="349"/>
      <c r="M53" s="392"/>
      <c r="N53" s="392"/>
    </row>
    <row r="54" spans="1:14" x14ac:dyDescent="0.3">
      <c r="A54" s="283" t="s">
        <v>181</v>
      </c>
      <c r="B54" s="283"/>
      <c r="C54" s="283"/>
      <c r="D54" s="283"/>
      <c r="E54" s="283"/>
      <c r="F54" s="283"/>
      <c r="G54" s="283"/>
      <c r="H54" s="283"/>
      <c r="I54" s="283" t="s">
        <v>190</v>
      </c>
      <c r="J54" s="283"/>
      <c r="K54" s="283"/>
      <c r="L54" s="283"/>
      <c r="M54" s="283"/>
    </row>
    <row r="55" spans="1:14" x14ac:dyDescent="0.3">
      <c r="A55" s="78"/>
      <c r="B55" s="78"/>
      <c r="C55" s="78"/>
      <c r="D55" s="78"/>
      <c r="E55" s="78"/>
      <c r="F55" s="78"/>
      <c r="G55" s="78"/>
    </row>
    <row r="56" spans="1:14" ht="33.75" thickBot="1" x14ac:dyDescent="0.35">
      <c r="A56" s="284"/>
      <c r="B56" s="350" t="s">
        <v>182</v>
      </c>
      <c r="C56" s="221" t="s">
        <v>183</v>
      </c>
      <c r="D56" s="350" t="s">
        <v>184</v>
      </c>
      <c r="E56" s="285" t="s">
        <v>185</v>
      </c>
      <c r="F56" s="285" t="s">
        <v>186</v>
      </c>
      <c r="G56" s="285" t="s">
        <v>187</v>
      </c>
      <c r="H56" s="370"/>
      <c r="I56" s="286"/>
      <c r="J56" s="285" t="s">
        <v>191</v>
      </c>
      <c r="K56" s="285" t="s">
        <v>192</v>
      </c>
      <c r="L56" s="285" t="s">
        <v>113</v>
      </c>
      <c r="M56" s="285" t="s">
        <v>114</v>
      </c>
    </row>
    <row r="57" spans="1:14" x14ac:dyDescent="0.3">
      <c r="A57" s="79">
        <f>A4</f>
        <v>43831</v>
      </c>
      <c r="B57" s="288">
        <f t="shared" ref="B57:B68" si="12">(B4*1000)+((C4+D4+E4)*2000)</f>
        <v>121000</v>
      </c>
      <c r="C57" s="289">
        <f>Data!CO53</f>
        <v>0</v>
      </c>
      <c r="D57" s="363"/>
      <c r="E57" s="364">
        <f t="shared" ref="E57:E68" si="13">(3900*B4)+((C4+D4+E4)*7800)</f>
        <v>471900</v>
      </c>
      <c r="F57" s="364">
        <f>Data!CP53</f>
        <v>0</v>
      </c>
      <c r="G57" s="365"/>
      <c r="H57" s="371"/>
      <c r="I57" s="79">
        <f>A57</f>
        <v>43831</v>
      </c>
      <c r="J57" s="373">
        <f>SUMPRODUCT(Data!C53:F53,Data!BN53:BQ53)</f>
        <v>81033.579999999987</v>
      </c>
      <c r="K57" s="364">
        <f t="shared" ref="K57:K68" si="14">F21+C57+F57</f>
        <v>74101.760000000009</v>
      </c>
      <c r="L57" s="386">
        <f>K57/J57</f>
        <v>0.91445743850882588</v>
      </c>
      <c r="M57" s="379">
        <f t="shared" ref="M57:M68" si="15">K57/F4</f>
        <v>805.45391304347834</v>
      </c>
    </row>
    <row r="58" spans="1:14" x14ac:dyDescent="0.3">
      <c r="A58" s="79">
        <f>A5</f>
        <v>43862</v>
      </c>
      <c r="B58" s="291">
        <f t="shared" si="12"/>
        <v>124000</v>
      </c>
      <c r="C58" s="258">
        <f>Data!CO54</f>
        <v>6607.73</v>
      </c>
      <c r="D58" s="361"/>
      <c r="E58" s="259">
        <f t="shared" si="13"/>
        <v>483600</v>
      </c>
      <c r="F58" s="259">
        <f>Data!CP54</f>
        <v>0</v>
      </c>
      <c r="G58" s="366"/>
      <c r="H58" s="371"/>
      <c r="I58" s="79">
        <f>A58</f>
        <v>43862</v>
      </c>
      <c r="J58" s="374">
        <f>SUMPRODUCT(Data!C54:F54,Data!BN54:BQ54)</f>
        <v>82314.930000000008</v>
      </c>
      <c r="K58" s="259">
        <f t="shared" si="14"/>
        <v>81818.939999999988</v>
      </c>
      <c r="L58" s="372">
        <f t="shared" ref="L58:L68" si="16">K58/J58</f>
        <v>0.9939744831223204</v>
      </c>
      <c r="M58" s="380">
        <f t="shared" si="15"/>
        <v>861.25199999999984</v>
      </c>
    </row>
    <row r="59" spans="1:14" x14ac:dyDescent="0.3">
      <c r="A59" s="79">
        <f t="shared" ref="A59:A68" si="17">31+A58</f>
        <v>43893</v>
      </c>
      <c r="B59" s="291">
        <f t="shared" si="12"/>
        <v>126000</v>
      </c>
      <c r="C59" s="258">
        <f>Data!CO55</f>
        <v>7712.5600000000013</v>
      </c>
      <c r="D59" s="361"/>
      <c r="E59" s="259">
        <f t="shared" si="13"/>
        <v>491400</v>
      </c>
      <c r="F59" s="259">
        <f>Data!CP55</f>
        <v>0</v>
      </c>
      <c r="G59" s="366"/>
      <c r="H59" s="371"/>
      <c r="I59" s="79">
        <f t="shared" ref="I59:I68" si="18">31+I58</f>
        <v>43893</v>
      </c>
      <c r="J59" s="374">
        <f>SUMPRODUCT(Data!C55:F55,Data!BN55:BQ55)</f>
        <v>83412.820000000007</v>
      </c>
      <c r="K59" s="259">
        <f t="shared" si="14"/>
        <v>83907.08</v>
      </c>
      <c r="L59" s="372">
        <f t="shared" si="16"/>
        <v>1.0059254680515537</v>
      </c>
      <c r="M59" s="380">
        <f t="shared" si="15"/>
        <v>874.03208333333339</v>
      </c>
    </row>
    <row r="60" spans="1:14" x14ac:dyDescent="0.3">
      <c r="A60" s="79">
        <f t="shared" si="17"/>
        <v>43924</v>
      </c>
      <c r="B60" s="291">
        <f t="shared" si="12"/>
        <v>123000</v>
      </c>
      <c r="C60" s="258">
        <f>Data!CO56</f>
        <v>5131.6499999999978</v>
      </c>
      <c r="D60" s="361"/>
      <c r="E60" s="259">
        <f t="shared" si="13"/>
        <v>479700</v>
      </c>
      <c r="F60" s="259">
        <f>Data!CP56</f>
        <v>0</v>
      </c>
      <c r="G60" s="366"/>
      <c r="H60" s="371"/>
      <c r="I60" s="79">
        <f t="shared" si="18"/>
        <v>43924</v>
      </c>
      <c r="J60" s="374">
        <f>SUMPRODUCT(Data!C56:F56,Data!BN56:BQ56)</f>
        <v>81716.95</v>
      </c>
      <c r="K60" s="259">
        <f t="shared" si="14"/>
        <v>79802.17</v>
      </c>
      <c r="L60" s="372">
        <f t="shared" si="16"/>
        <v>0.97656814161566241</v>
      </c>
      <c r="M60" s="380">
        <f t="shared" si="15"/>
        <v>831.27260416666661</v>
      </c>
    </row>
    <row r="61" spans="1:14" x14ac:dyDescent="0.3">
      <c r="A61" s="79">
        <f t="shared" si="17"/>
        <v>43955</v>
      </c>
      <c r="B61" s="291">
        <f t="shared" si="12"/>
        <v>126000</v>
      </c>
      <c r="C61" s="258">
        <f>Data!CO57</f>
        <v>3675.34</v>
      </c>
      <c r="D61" s="361"/>
      <c r="E61" s="259">
        <f t="shared" si="13"/>
        <v>491400</v>
      </c>
      <c r="F61" s="259">
        <f>Data!CP57</f>
        <v>0</v>
      </c>
      <c r="G61" s="366"/>
      <c r="H61" s="371"/>
      <c r="I61" s="79">
        <f t="shared" si="18"/>
        <v>43955</v>
      </c>
      <c r="J61" s="374">
        <f>SUMPRODUCT(Data!C57:F57,Data!BN57:BQ57)</f>
        <v>84142.13</v>
      </c>
      <c r="K61" s="259">
        <f t="shared" si="14"/>
        <v>80599.200000000012</v>
      </c>
      <c r="L61" s="372">
        <f t="shared" si="16"/>
        <v>0.95789350709329568</v>
      </c>
      <c r="M61" s="380">
        <f t="shared" si="15"/>
        <v>822.44081632653069</v>
      </c>
    </row>
    <row r="62" spans="1:14" x14ac:dyDescent="0.3">
      <c r="A62" s="79">
        <f t="shared" si="17"/>
        <v>43986</v>
      </c>
      <c r="B62" s="291">
        <f t="shared" si="12"/>
        <v>125000</v>
      </c>
      <c r="C62" s="258">
        <f>Data!CO58</f>
        <v>2415.8899999999994</v>
      </c>
      <c r="D62" s="361"/>
      <c r="E62" s="259">
        <f t="shared" si="13"/>
        <v>487500</v>
      </c>
      <c r="F62" s="259">
        <f>Data!CP58</f>
        <v>0</v>
      </c>
      <c r="G62" s="366"/>
      <c r="H62" s="371"/>
      <c r="I62" s="79">
        <f t="shared" si="18"/>
        <v>43986</v>
      </c>
      <c r="J62" s="374">
        <f>SUMPRODUCT(Data!C58:F58,Data!BN58:BQ58)</f>
        <v>83576.84</v>
      </c>
      <c r="K62" s="259">
        <f t="shared" si="14"/>
        <v>78831.75</v>
      </c>
      <c r="L62" s="372">
        <f t="shared" si="16"/>
        <v>0.94322482161326038</v>
      </c>
      <c r="M62" s="380">
        <f t="shared" si="15"/>
        <v>804.40561224489795</v>
      </c>
    </row>
    <row r="63" spans="1:14" x14ac:dyDescent="0.3">
      <c r="A63" s="79">
        <f t="shared" si="17"/>
        <v>44017</v>
      </c>
      <c r="B63" s="291">
        <f t="shared" si="12"/>
        <v>125000</v>
      </c>
      <c r="C63" s="258">
        <f>Data!CO59</f>
        <v>5162.0600000000013</v>
      </c>
      <c r="D63" s="361"/>
      <c r="E63" s="259">
        <f t="shared" si="13"/>
        <v>487500</v>
      </c>
      <c r="F63" s="259">
        <f>Data!CP59</f>
        <v>1058.8699999999999</v>
      </c>
      <c r="G63" s="366"/>
      <c r="H63" s="371"/>
      <c r="I63" s="79">
        <f t="shared" si="18"/>
        <v>44017</v>
      </c>
      <c r="J63" s="374">
        <f>SUMPRODUCT(Data!C59:F59,Data!BN59:BQ59)</f>
        <v>83489.97</v>
      </c>
      <c r="K63" s="259">
        <f t="shared" si="14"/>
        <v>82549.920000000013</v>
      </c>
      <c r="L63" s="372">
        <f t="shared" si="16"/>
        <v>0.9887405636868718</v>
      </c>
      <c r="M63" s="380">
        <f t="shared" si="15"/>
        <v>851.03010309278363</v>
      </c>
    </row>
    <row r="64" spans="1:14" x14ac:dyDescent="0.3">
      <c r="A64" s="79">
        <f t="shared" si="17"/>
        <v>44048</v>
      </c>
      <c r="B64" s="291">
        <f t="shared" si="12"/>
        <v>126000</v>
      </c>
      <c r="C64" s="258">
        <f>Data!CO60</f>
        <v>1759.0800000000017</v>
      </c>
      <c r="D64" s="361"/>
      <c r="E64" s="259">
        <f t="shared" si="13"/>
        <v>491400</v>
      </c>
      <c r="F64" s="259">
        <f>Data!CP60</f>
        <v>175.36000000000013</v>
      </c>
      <c r="G64" s="366"/>
      <c r="H64" s="371"/>
      <c r="I64" s="79">
        <f t="shared" si="18"/>
        <v>44048</v>
      </c>
      <c r="J64" s="374">
        <f>SUMPRODUCT(Data!C60:F60,Data!BN60:BQ60)</f>
        <v>84142.13</v>
      </c>
      <c r="K64" s="259">
        <f t="shared" si="14"/>
        <v>78858.300000000017</v>
      </c>
      <c r="L64" s="372">
        <f t="shared" si="16"/>
        <v>0.9372035150524477</v>
      </c>
      <c r="M64" s="380">
        <f t="shared" si="15"/>
        <v>804.67653061224507</v>
      </c>
    </row>
    <row r="65" spans="1:14" x14ac:dyDescent="0.3">
      <c r="A65" s="79">
        <f t="shared" si="17"/>
        <v>44079</v>
      </c>
      <c r="B65" s="291">
        <f t="shared" si="12"/>
        <v>118000</v>
      </c>
      <c r="C65" s="258">
        <f>Data!CO61</f>
        <v>1460.4999999999964</v>
      </c>
      <c r="D65" s="361"/>
      <c r="E65" s="259">
        <f t="shared" si="13"/>
        <v>460200</v>
      </c>
      <c r="F65" s="259">
        <f>Data!CP61</f>
        <v>1530.02</v>
      </c>
      <c r="G65" s="366"/>
      <c r="H65" s="371"/>
      <c r="I65" s="79">
        <f t="shared" si="18"/>
        <v>44079</v>
      </c>
      <c r="J65" s="374">
        <f>SUMPRODUCT(Data!C61:F61,Data!BN61:BQ61)</f>
        <v>79011.72</v>
      </c>
      <c r="K65" s="259">
        <f t="shared" si="14"/>
        <v>75242.290000000008</v>
      </c>
      <c r="L65" s="372">
        <f t="shared" si="16"/>
        <v>0.95229277378090249</v>
      </c>
      <c r="M65" s="380">
        <f t="shared" si="15"/>
        <v>826.8383516483517</v>
      </c>
    </row>
    <row r="66" spans="1:14" x14ac:dyDescent="0.3">
      <c r="A66" s="79">
        <f t="shared" si="17"/>
        <v>44110</v>
      </c>
      <c r="B66" s="291">
        <f t="shared" si="12"/>
        <v>118000</v>
      </c>
      <c r="C66" s="258">
        <f>Data!CO62</f>
        <v>731.29000000000451</v>
      </c>
      <c r="D66" s="361"/>
      <c r="E66" s="259">
        <f t="shared" si="13"/>
        <v>460200</v>
      </c>
      <c r="F66" s="259">
        <f>Data!CP62</f>
        <v>2219.25</v>
      </c>
      <c r="G66" s="366"/>
      <c r="H66" s="371"/>
      <c r="I66" s="79">
        <f t="shared" si="18"/>
        <v>44110</v>
      </c>
      <c r="J66" s="374">
        <f>SUMPRODUCT(Data!C62:F62,Data!BN62:BQ62)</f>
        <v>78336.59</v>
      </c>
      <c r="K66" s="259">
        <f t="shared" si="14"/>
        <v>74527.150000000009</v>
      </c>
      <c r="L66" s="372">
        <f t="shared" si="16"/>
        <v>0.95137087279392696</v>
      </c>
      <c r="M66" s="380">
        <f t="shared" si="15"/>
        <v>818.9796703296704</v>
      </c>
    </row>
    <row r="67" spans="1:14" x14ac:dyDescent="0.3">
      <c r="A67" s="79">
        <f t="shared" si="17"/>
        <v>44141</v>
      </c>
      <c r="B67" s="291">
        <f t="shared" si="12"/>
        <v>115000</v>
      </c>
      <c r="C67" s="258">
        <f>Data!CO63</f>
        <v>1247.3299999999981</v>
      </c>
      <c r="D67" s="361"/>
      <c r="E67" s="259">
        <f t="shared" si="13"/>
        <v>448500</v>
      </c>
      <c r="F67" s="259">
        <f>Data!CP63</f>
        <v>0</v>
      </c>
      <c r="G67" s="366"/>
      <c r="H67" s="371"/>
      <c r="I67" s="79">
        <f t="shared" si="18"/>
        <v>44141</v>
      </c>
      <c r="J67" s="374">
        <f>SUMPRODUCT(Data!C63:F63,Data!BN63:BQ63)</f>
        <v>76586.539999999994</v>
      </c>
      <c r="K67" s="259">
        <f t="shared" si="14"/>
        <v>71245.760000000009</v>
      </c>
      <c r="L67" s="372">
        <f t="shared" si="16"/>
        <v>0.93026476976241534</v>
      </c>
      <c r="M67" s="380">
        <f t="shared" si="15"/>
        <v>800.51415730337089</v>
      </c>
    </row>
    <row r="68" spans="1:14" ht="17.25" thickBot="1" x14ac:dyDescent="0.35">
      <c r="A68" s="79">
        <f t="shared" si="17"/>
        <v>44172</v>
      </c>
      <c r="B68" s="293">
        <f t="shared" si="12"/>
        <v>117000</v>
      </c>
      <c r="C68" s="294">
        <f>Data!CO64</f>
        <v>6388.3599999999969</v>
      </c>
      <c r="D68" s="367"/>
      <c r="E68" s="368">
        <f t="shared" si="13"/>
        <v>456300</v>
      </c>
      <c r="F68" s="368">
        <f>Data!CP64</f>
        <v>0</v>
      </c>
      <c r="G68" s="369"/>
      <c r="H68" s="371"/>
      <c r="I68" s="79">
        <f t="shared" si="18"/>
        <v>44172</v>
      </c>
      <c r="J68" s="375">
        <f>SUMPRODUCT(Data!C64:F64,Data!BN64:BQ64)</f>
        <v>77541.72</v>
      </c>
      <c r="K68" s="368">
        <f t="shared" si="14"/>
        <v>77227.360000000001</v>
      </c>
      <c r="L68" s="387">
        <f t="shared" si="16"/>
        <v>0.99594592433595741</v>
      </c>
      <c r="M68" s="388">
        <f t="shared" si="15"/>
        <v>839.42782608695654</v>
      </c>
    </row>
    <row r="69" spans="1:14" x14ac:dyDescent="0.3">
      <c r="A69" s="281" t="s">
        <v>138</v>
      </c>
      <c r="B69" s="297">
        <f>AVERAGE(B57:B68)</f>
        <v>122000</v>
      </c>
      <c r="C69" s="297">
        <f>SUM(C57:C68)</f>
        <v>42291.790000000008</v>
      </c>
      <c r="D69" s="360">
        <f>C69/B69</f>
        <v>0.34665401639344268</v>
      </c>
      <c r="E69" s="297">
        <f>AVERAGE(E57:E68)</f>
        <v>475800</v>
      </c>
      <c r="F69" s="297">
        <f>SUM(F57:F68)</f>
        <v>4983.5</v>
      </c>
      <c r="G69" s="360">
        <f>F69/E69</f>
        <v>1.0473938629676334E-2</v>
      </c>
      <c r="H69" s="360"/>
      <c r="I69" s="281" t="s">
        <v>138</v>
      </c>
      <c r="J69" s="302">
        <f>SUM(J57:J68)</f>
        <v>975305.91999999993</v>
      </c>
      <c r="K69" s="302">
        <f>SUM(K57:K68)</f>
        <v>938711.68000000017</v>
      </c>
      <c r="L69" s="360">
        <f>K69/J69</f>
        <v>0.9624792188280783</v>
      </c>
      <c r="M69" s="362">
        <f>AVERAGE(M57:M68)</f>
        <v>828.36030568235708</v>
      </c>
    </row>
    <row r="70" spans="1:14" ht="12" customHeight="1" x14ac:dyDescent="0.3"/>
    <row r="71" spans="1:14" s="283" customFormat="1" x14ac:dyDescent="0.3">
      <c r="A71" s="281" t="s">
        <v>196</v>
      </c>
      <c r="B71" s="287"/>
      <c r="C71" s="287"/>
      <c r="D71" s="281" t="s">
        <v>195</v>
      </c>
      <c r="E71" s="287"/>
      <c r="F71" s="287"/>
      <c r="G71" s="287"/>
      <c r="H71" s="287"/>
      <c r="I71" s="287"/>
      <c r="J71" s="287"/>
      <c r="K71" s="281"/>
      <c r="L71" s="287"/>
      <c r="M71" s="287"/>
      <c r="N71" s="287"/>
    </row>
    <row r="72" spans="1:14" s="283" customFormat="1" x14ac:dyDescent="0.3">
      <c r="A72" s="281"/>
      <c r="B72" s="287"/>
      <c r="C72" s="287"/>
      <c r="D72" s="281"/>
      <c r="E72" s="287"/>
      <c r="F72" s="287"/>
      <c r="G72" s="287"/>
      <c r="H72" s="287"/>
      <c r="I72" s="287"/>
      <c r="J72" s="287"/>
      <c r="K72" s="281"/>
      <c r="L72" s="287"/>
      <c r="M72" s="287"/>
      <c r="N72" s="287"/>
    </row>
    <row r="73" spans="1:14" s="286" customFormat="1" ht="33.75" thickBot="1" x14ac:dyDescent="0.35">
      <c r="A73" s="284"/>
      <c r="B73" s="285" t="s">
        <v>193</v>
      </c>
      <c r="C73" s="285"/>
      <c r="D73" s="284"/>
      <c r="E73" s="285" t="s">
        <v>197</v>
      </c>
      <c r="F73" s="284"/>
      <c r="G73" s="285"/>
      <c r="H73" s="285"/>
      <c r="I73" s="285"/>
    </row>
    <row r="74" spans="1:14" x14ac:dyDescent="0.3">
      <c r="A74" s="79">
        <f>A39</f>
        <v>43831</v>
      </c>
      <c r="B74" s="376">
        <f>Data!CQ53</f>
        <v>1529.3</v>
      </c>
      <c r="C74" s="259"/>
      <c r="D74" s="79">
        <f>A74</f>
        <v>43831</v>
      </c>
      <c r="E74" s="389">
        <v>1535.97</v>
      </c>
      <c r="F74" s="79"/>
      <c r="G74" s="258"/>
      <c r="H74" s="261"/>
      <c r="I74" s="259"/>
    </row>
    <row r="75" spans="1:14" x14ac:dyDescent="0.3">
      <c r="A75" s="79">
        <f>31+A74</f>
        <v>43862</v>
      </c>
      <c r="B75" s="377">
        <f>Data!CQ54</f>
        <v>3800</v>
      </c>
      <c r="C75" s="259"/>
      <c r="D75" s="79">
        <f>31+D74</f>
        <v>43862</v>
      </c>
      <c r="E75" s="390">
        <v>1531.37</v>
      </c>
      <c r="F75" s="79"/>
      <c r="G75" s="258"/>
      <c r="H75" s="261"/>
      <c r="I75" s="259"/>
    </row>
    <row r="76" spans="1:14" x14ac:dyDescent="0.3">
      <c r="A76" s="79">
        <f t="shared" ref="A76:A85" si="19">31+A75</f>
        <v>43893</v>
      </c>
      <c r="B76" s="377">
        <f>Data!CQ55</f>
        <v>1171</v>
      </c>
      <c r="C76" s="259"/>
      <c r="D76" s="79">
        <f t="shared" ref="D76:D85" si="20">31+D75</f>
        <v>43893</v>
      </c>
      <c r="E76" s="390">
        <v>1556.48</v>
      </c>
      <c r="F76" s="79"/>
      <c r="G76" s="258"/>
      <c r="H76" s="261"/>
      <c r="I76" s="259"/>
    </row>
    <row r="77" spans="1:14" x14ac:dyDescent="0.3">
      <c r="A77" s="79">
        <f t="shared" si="19"/>
        <v>43924</v>
      </c>
      <c r="B77" s="377">
        <f>Data!CQ56</f>
        <v>72.8</v>
      </c>
      <c r="C77" s="259"/>
      <c r="D77" s="79">
        <f t="shared" si="20"/>
        <v>43924</v>
      </c>
      <c r="E77" s="390">
        <v>1528.43</v>
      </c>
      <c r="F77" s="79"/>
      <c r="G77" s="258"/>
      <c r="H77" s="261"/>
      <c r="I77" s="259"/>
    </row>
    <row r="78" spans="1:14" x14ac:dyDescent="0.3">
      <c r="A78" s="79">
        <f t="shared" si="19"/>
        <v>43955</v>
      </c>
      <c r="B78" s="377">
        <f>Data!CQ57</f>
        <v>0</v>
      </c>
      <c r="C78" s="259"/>
      <c r="D78" s="79">
        <f t="shared" si="20"/>
        <v>43955</v>
      </c>
      <c r="E78" s="390">
        <v>1558.56</v>
      </c>
      <c r="F78" s="79"/>
      <c r="G78" s="258"/>
      <c r="H78" s="261"/>
      <c r="I78" s="259"/>
    </row>
    <row r="79" spans="1:14" x14ac:dyDescent="0.3">
      <c r="A79" s="79">
        <f t="shared" si="19"/>
        <v>43986</v>
      </c>
      <c r="B79" s="377">
        <f>Data!CQ58</f>
        <v>400</v>
      </c>
      <c r="C79" s="259"/>
      <c r="D79" s="79">
        <f t="shared" si="20"/>
        <v>43986</v>
      </c>
      <c r="E79" s="390">
        <v>1583.67</v>
      </c>
      <c r="F79" s="79"/>
      <c r="G79" s="258"/>
      <c r="H79" s="261"/>
      <c r="I79" s="259"/>
    </row>
    <row r="80" spans="1:14" x14ac:dyDescent="0.3">
      <c r="A80" s="79">
        <f t="shared" si="19"/>
        <v>44017</v>
      </c>
      <c r="B80" s="377">
        <f>Data!CQ59</f>
        <v>2132.1</v>
      </c>
      <c r="C80" s="259"/>
      <c r="D80" s="79">
        <f t="shared" si="20"/>
        <v>44017</v>
      </c>
      <c r="E80" s="390">
        <v>1492.03</v>
      </c>
      <c r="F80" s="79"/>
      <c r="G80" s="258"/>
      <c r="H80" s="261"/>
      <c r="I80" s="259"/>
    </row>
    <row r="81" spans="1:9" x14ac:dyDescent="0.3">
      <c r="A81" s="79">
        <f t="shared" si="19"/>
        <v>44048</v>
      </c>
      <c r="B81" s="377">
        <f>Data!CQ60</f>
        <v>2539</v>
      </c>
      <c r="C81" s="259"/>
      <c r="D81" s="79">
        <f t="shared" si="20"/>
        <v>44048</v>
      </c>
      <c r="E81" s="390">
        <v>1535.55</v>
      </c>
      <c r="F81" s="79"/>
      <c r="G81" s="258"/>
      <c r="H81" s="261"/>
      <c r="I81" s="259"/>
    </row>
    <row r="82" spans="1:9" x14ac:dyDescent="0.3">
      <c r="A82" s="79">
        <f t="shared" si="19"/>
        <v>44079</v>
      </c>
      <c r="B82" s="377">
        <f>Data!CQ61</f>
        <v>1991.8</v>
      </c>
      <c r="C82" s="259"/>
      <c r="D82" s="79">
        <f t="shared" si="20"/>
        <v>44079</v>
      </c>
      <c r="E82" s="390">
        <v>1480.73</v>
      </c>
      <c r="F82" s="79"/>
      <c r="G82" s="258"/>
      <c r="H82" s="261"/>
      <c r="I82" s="259"/>
    </row>
    <row r="83" spans="1:9" x14ac:dyDescent="0.3">
      <c r="A83" s="79">
        <f t="shared" si="19"/>
        <v>44110</v>
      </c>
      <c r="B83" s="377">
        <f>Data!CQ62</f>
        <v>628.6</v>
      </c>
      <c r="C83" s="259"/>
      <c r="D83" s="79">
        <f t="shared" si="20"/>
        <v>44110</v>
      </c>
      <c r="E83" s="390">
        <v>1443.06</v>
      </c>
      <c r="F83" s="79"/>
      <c r="G83" s="258"/>
      <c r="H83" s="261"/>
      <c r="I83" s="259"/>
    </row>
    <row r="84" spans="1:9" x14ac:dyDescent="0.3">
      <c r="A84" s="79">
        <f t="shared" si="19"/>
        <v>44141</v>
      </c>
      <c r="B84" s="377">
        <f>Data!CQ63</f>
        <v>1338.2</v>
      </c>
      <c r="C84" s="259"/>
      <c r="D84" s="79">
        <f t="shared" si="20"/>
        <v>44141</v>
      </c>
      <c r="E84" s="390">
        <v>1480.31</v>
      </c>
      <c r="F84" s="79"/>
      <c r="G84" s="258"/>
      <c r="H84" s="261"/>
      <c r="I84" s="259"/>
    </row>
    <row r="85" spans="1:9" ht="17.25" thickBot="1" x14ac:dyDescent="0.35">
      <c r="A85" s="79">
        <f t="shared" si="19"/>
        <v>44172</v>
      </c>
      <c r="B85" s="378">
        <f>Data!CQ64</f>
        <v>400</v>
      </c>
      <c r="C85" s="259"/>
      <c r="D85" s="79">
        <f t="shared" si="20"/>
        <v>44172</v>
      </c>
      <c r="E85" s="391">
        <v>1466.92</v>
      </c>
      <c r="F85" s="79"/>
      <c r="G85" s="258"/>
      <c r="H85" s="261"/>
      <c r="I85" s="259"/>
    </row>
    <row r="86" spans="1:9" s="283" customFormat="1" x14ac:dyDescent="0.3">
      <c r="A86" s="281" t="s">
        <v>138</v>
      </c>
      <c r="B86" s="297">
        <f>SUM(B74:B85)</f>
        <v>16002.800000000001</v>
      </c>
      <c r="C86" s="310"/>
      <c r="D86" s="281" t="s">
        <v>143</v>
      </c>
      <c r="E86" s="302">
        <f>SUM(E74:E85)</f>
        <v>18193.080000000002</v>
      </c>
      <c r="F86" s="281"/>
      <c r="G86" s="297"/>
      <c r="H86" s="297"/>
      <c r="I86" s="297"/>
    </row>
  </sheetData>
  <mergeCells count="3">
    <mergeCell ref="M52:N52"/>
    <mergeCell ref="I38:I39"/>
    <mergeCell ref="F49:I50"/>
  </mergeCells>
  <pageMargins left="0.25" right="0.25" top="0.75" bottom="0.75" header="0.3" footer="0.3"/>
  <pageSetup scale="42" orientation="landscape" r:id="rId1"/>
  <headerFooter>
    <oddHeader>&amp;L&amp;"Arial,Bold"&amp;12BELLEVANCE TRUCKING
MONTHLY FINANCIAL REPORT
JANUARY 1, 2022-DECEMBER 31, 2022&amp;R&amp;G</oddHeader>
  </headerFooter>
  <rowBreaks count="1" manualBreakCount="1">
    <brk id="35" max="16383" man="1"/>
  </rowBreaks>
  <ignoredErrors>
    <ignoredError sqref="B21:E32 G26" formulaRange="1"/>
    <ignoredError sqref="D51" formula="1"/>
  </ignoredErrors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V157"/>
  <sheetViews>
    <sheetView zoomScaleNormal="100" workbookViewId="0">
      <selection activeCell="J20" sqref="J20"/>
    </sheetView>
  </sheetViews>
  <sheetFormatPr defaultRowHeight="16.5" x14ac:dyDescent="0.3"/>
  <cols>
    <col min="1" max="1" width="18.5703125" style="81" customWidth="1"/>
    <col min="2" max="12" width="15.7109375" style="83" customWidth="1"/>
    <col min="13" max="13" width="15.7109375" style="84" customWidth="1"/>
    <col min="14" max="14" width="18.42578125" style="84" customWidth="1"/>
    <col min="15" max="15" width="15.7109375" style="84" hidden="1" customWidth="1"/>
    <col min="16" max="16" width="11" style="84" hidden="1" customWidth="1"/>
    <col min="17" max="17" width="12.140625" style="84" customWidth="1"/>
    <col min="18" max="19" width="11.7109375" style="241" bestFit="1" customWidth="1"/>
    <col min="20" max="16384" width="9.140625" style="84"/>
  </cols>
  <sheetData>
    <row r="2" spans="1:19" ht="20.25" x14ac:dyDescent="0.3">
      <c r="B2" s="165" t="s">
        <v>87</v>
      </c>
    </row>
    <row r="3" spans="1:19" ht="20.25" x14ac:dyDescent="0.3">
      <c r="B3" s="165" t="s">
        <v>0</v>
      </c>
    </row>
    <row r="4" spans="1:19" x14ac:dyDescent="0.3">
      <c r="B4" s="85" t="s">
        <v>90</v>
      </c>
    </row>
    <row r="7" spans="1:19" ht="14.25" customHeight="1" x14ac:dyDescent="0.3">
      <c r="B7" s="437" t="s">
        <v>78</v>
      </c>
      <c r="C7" s="437"/>
      <c r="D7" s="437"/>
      <c r="E7" s="437"/>
      <c r="F7" s="437"/>
      <c r="G7" s="437" t="s">
        <v>79</v>
      </c>
      <c r="H7" s="437"/>
      <c r="I7" s="437"/>
      <c r="J7" s="437"/>
      <c r="K7" s="437"/>
      <c r="L7" s="437"/>
      <c r="M7" s="83"/>
    </row>
    <row r="8" spans="1:19" ht="17.25" thickBot="1" x14ac:dyDescent="0.35">
      <c r="B8" s="86"/>
      <c r="C8" s="86"/>
      <c r="D8" s="86"/>
      <c r="E8" s="86"/>
      <c r="F8" s="86"/>
      <c r="G8" s="87"/>
      <c r="H8" s="87"/>
      <c r="I8" s="87"/>
      <c r="J8" s="87"/>
      <c r="K8" s="86"/>
    </row>
    <row r="9" spans="1:19" s="177" customFormat="1" ht="43.15" customHeight="1" thickBot="1" x14ac:dyDescent="0.25">
      <c r="A9" s="176"/>
      <c r="B9" s="75" t="s">
        <v>56</v>
      </c>
      <c r="C9" s="76" t="s">
        <v>57</v>
      </c>
      <c r="D9" s="75" t="s">
        <v>58</v>
      </c>
      <c r="E9" s="75" t="s">
        <v>59</v>
      </c>
      <c r="F9" s="76" t="s">
        <v>60</v>
      </c>
      <c r="G9" s="75" t="s">
        <v>61</v>
      </c>
      <c r="H9" s="75" t="s">
        <v>62</v>
      </c>
      <c r="I9" s="88" t="s">
        <v>66</v>
      </c>
      <c r="J9" s="75" t="s">
        <v>67</v>
      </c>
      <c r="K9" s="89" t="s">
        <v>98</v>
      </c>
      <c r="L9" s="74" t="s">
        <v>96</v>
      </c>
      <c r="M9" s="75" t="s">
        <v>99</v>
      </c>
      <c r="N9" s="75" t="s">
        <v>137</v>
      </c>
      <c r="Q9" s="126" t="s">
        <v>113</v>
      </c>
      <c r="R9" s="126" t="s">
        <v>114</v>
      </c>
      <c r="S9" s="126" t="s">
        <v>115</v>
      </c>
    </row>
    <row r="10" spans="1:19" s="177" customFormat="1" x14ac:dyDescent="0.2">
      <c r="A10" s="178">
        <v>43466</v>
      </c>
      <c r="B10" s="207">
        <v>12559.65</v>
      </c>
      <c r="C10" s="179">
        <v>4168.51</v>
      </c>
      <c r="D10" s="179">
        <v>272.93</v>
      </c>
      <c r="E10" s="179">
        <f>75.11+516.61</f>
        <v>591.72</v>
      </c>
      <c r="F10" s="180">
        <f>213.74</f>
        <v>213.74</v>
      </c>
      <c r="G10" s="179">
        <f t="shared" ref="G10:G16" si="0">B10+C10+D10+E10+F10</f>
        <v>17806.550000000003</v>
      </c>
      <c r="H10" s="181">
        <v>0</v>
      </c>
      <c r="I10" s="182">
        <v>35890.22</v>
      </c>
      <c r="J10" s="181">
        <v>31085.68</v>
      </c>
      <c r="K10" s="183">
        <f>I10+J10</f>
        <v>66975.899999999994</v>
      </c>
      <c r="L10" s="222">
        <f t="shared" ref="L10:L21" si="1">((B51*$B$91)+(C51*$C$91)+(D51*$E$91)+(E51*$F$91)+(F51*$B$92)+(G51*$C$92)+(H51*$E$92)+(I51*$F$92)+(B67*$B$93)+(C67*$C$93)+(D67*$E$93)+(E67*$F$93))*-1</f>
        <v>-12486.809999999998</v>
      </c>
      <c r="M10" s="208">
        <f t="shared" ref="M10:M21" si="2">K10+L10</f>
        <v>54489.09</v>
      </c>
      <c r="N10" s="179">
        <f>I10-G10+H10</f>
        <v>18083.669999999998</v>
      </c>
      <c r="Q10" s="238">
        <f>(G10+H10)/I10</f>
        <v>0.4961393382375478</v>
      </c>
      <c r="R10" s="243">
        <f>(G10+H10)/F67</f>
        <v>363.39897959183679</v>
      </c>
      <c r="S10" s="243">
        <f>(G10+H10)/G67</f>
        <v>171.21682692307695</v>
      </c>
    </row>
    <row r="11" spans="1:19" s="177" customFormat="1" x14ac:dyDescent="0.2">
      <c r="A11" s="178">
        <f>31+A10</f>
        <v>43497</v>
      </c>
      <c r="B11" s="179">
        <v>23110.9</v>
      </c>
      <c r="C11" s="180">
        <v>2479.89</v>
      </c>
      <c r="D11" s="179">
        <v>15735.36</v>
      </c>
      <c r="E11" s="179">
        <f>160.82+674.42</f>
        <v>835.24</v>
      </c>
      <c r="F11" s="180">
        <f>200.66</f>
        <v>200.66</v>
      </c>
      <c r="G11" s="179">
        <f t="shared" si="0"/>
        <v>42362.05</v>
      </c>
      <c r="H11" s="180">
        <v>0</v>
      </c>
      <c r="I11" s="179">
        <v>35890.22</v>
      </c>
      <c r="J11" s="180">
        <v>34191.599999999999</v>
      </c>
      <c r="K11" s="184">
        <f t="shared" ref="K11:K21" si="3">I11+J11</f>
        <v>70081.820000000007</v>
      </c>
      <c r="L11" s="208">
        <f t="shared" si="1"/>
        <v>-12486.809999999998</v>
      </c>
      <c r="M11" s="208">
        <f t="shared" si="2"/>
        <v>57595.010000000009</v>
      </c>
      <c r="N11" s="179">
        <f t="shared" ref="N11:N21" si="4">I11-G11+H11</f>
        <v>-6471.8300000000017</v>
      </c>
      <c r="Q11" s="247">
        <f t="shared" ref="Q11:Q21" si="5">(G11+H11)/I11</f>
        <v>1.1803229403441942</v>
      </c>
      <c r="R11" s="243">
        <f t="shared" ref="R11:R21" si="6">(G11+H11)/F68</f>
        <v>864.53163265306125</v>
      </c>
      <c r="S11" s="243">
        <f t="shared" ref="S11:S21" si="7">(G11+H11)/G68</f>
        <v>411.28203883495149</v>
      </c>
    </row>
    <row r="12" spans="1:19" s="177" customFormat="1" x14ac:dyDescent="0.2">
      <c r="A12" s="178">
        <f t="shared" ref="A12:A21" si="8">31+A11</f>
        <v>43528</v>
      </c>
      <c r="B12" s="179">
        <v>1963.93</v>
      </c>
      <c r="C12" s="180">
        <v>2270.4</v>
      </c>
      <c r="D12" s="179">
        <v>6939.62</v>
      </c>
      <c r="E12" s="179">
        <f>466.35+1196.18</f>
        <v>1662.5300000000002</v>
      </c>
      <c r="F12" s="180">
        <v>202.68</v>
      </c>
      <c r="G12" s="179">
        <f t="shared" si="0"/>
        <v>13039.160000000002</v>
      </c>
      <c r="H12" s="223">
        <v>0</v>
      </c>
      <c r="I12" s="179">
        <v>36830.5</v>
      </c>
      <c r="J12" s="180">
        <v>33160.17</v>
      </c>
      <c r="K12" s="184">
        <f t="shared" si="3"/>
        <v>69990.67</v>
      </c>
      <c r="L12" s="208">
        <f t="shared" si="1"/>
        <v>-12880.959999999997</v>
      </c>
      <c r="M12" s="208">
        <f t="shared" si="2"/>
        <v>57109.71</v>
      </c>
      <c r="N12" s="179">
        <f t="shared" si="4"/>
        <v>23791.339999999997</v>
      </c>
      <c r="Q12" s="238">
        <f t="shared" si="5"/>
        <v>0.35403157708964045</v>
      </c>
      <c r="R12" s="243">
        <f t="shared" si="6"/>
        <v>255.66980392156867</v>
      </c>
      <c r="S12" s="243">
        <f t="shared" si="7"/>
        <v>119.62532110091745</v>
      </c>
    </row>
    <row r="13" spans="1:19" s="177" customFormat="1" x14ac:dyDescent="0.2">
      <c r="A13" s="178">
        <f t="shared" si="8"/>
        <v>43559</v>
      </c>
      <c r="B13" s="179">
        <v>5131.42</v>
      </c>
      <c r="C13" s="180">
        <v>37760.44</v>
      </c>
      <c r="D13" s="179">
        <v>1749.06</v>
      </c>
      <c r="E13" s="179">
        <f>340.56+1252.51</f>
        <v>1593.07</v>
      </c>
      <c r="F13" s="180">
        <f>150.74+98</f>
        <v>248.74</v>
      </c>
      <c r="G13" s="179">
        <f t="shared" si="0"/>
        <v>46482.729999999996</v>
      </c>
      <c r="H13" s="180">
        <v>0</v>
      </c>
      <c r="I13" s="179">
        <v>37155.71</v>
      </c>
      <c r="J13" s="180">
        <v>-51590.400000000001</v>
      </c>
      <c r="K13" s="184">
        <f t="shared" si="3"/>
        <v>-14434.690000000002</v>
      </c>
      <c r="L13" s="208">
        <f t="shared" si="1"/>
        <v>-12901.229999999998</v>
      </c>
      <c r="M13" s="208">
        <f t="shared" si="2"/>
        <v>-27335.919999999998</v>
      </c>
      <c r="N13" s="179">
        <f t="shared" si="4"/>
        <v>-9327.0199999999968</v>
      </c>
      <c r="Q13" s="247">
        <f t="shared" si="5"/>
        <v>1.2510252125447205</v>
      </c>
      <c r="R13" s="243">
        <f t="shared" si="6"/>
        <v>893.89865384615382</v>
      </c>
      <c r="S13" s="243">
        <f t="shared" si="7"/>
        <v>418.76333333333332</v>
      </c>
    </row>
    <row r="14" spans="1:19" s="177" customFormat="1" x14ac:dyDescent="0.2">
      <c r="A14" s="178">
        <f t="shared" si="8"/>
        <v>43590</v>
      </c>
      <c r="B14" s="179">
        <v>13087.74</v>
      </c>
      <c r="C14" s="180">
        <v>7914.23</v>
      </c>
      <c r="D14" s="179">
        <v>403.18</v>
      </c>
      <c r="E14" s="179">
        <f>563.51+183.01</f>
        <v>746.52</v>
      </c>
      <c r="F14" s="180">
        <v>205.72</v>
      </c>
      <c r="G14" s="179">
        <f t="shared" si="0"/>
        <v>22357.390000000003</v>
      </c>
      <c r="H14" s="180">
        <v>-1389.79</v>
      </c>
      <c r="I14" s="179">
        <v>37536.949999999997</v>
      </c>
      <c r="J14" s="180">
        <v>-17793.53</v>
      </c>
      <c r="K14" s="184">
        <f t="shared" si="3"/>
        <v>19743.419999999998</v>
      </c>
      <c r="L14" s="208">
        <f t="shared" si="1"/>
        <v>-12699.800000000001</v>
      </c>
      <c r="M14" s="208">
        <f t="shared" si="2"/>
        <v>7043.6199999999972</v>
      </c>
      <c r="N14" s="179">
        <f t="shared" si="4"/>
        <v>13789.769999999993</v>
      </c>
      <c r="Q14" s="238">
        <f t="shared" si="5"/>
        <v>0.55858560698192061</v>
      </c>
      <c r="R14" s="243">
        <f t="shared" si="6"/>
        <v>395.61509433962266</v>
      </c>
      <c r="S14" s="243">
        <f t="shared" si="7"/>
        <v>187.21071428571432</v>
      </c>
    </row>
    <row r="15" spans="1:19" s="177" customFormat="1" x14ac:dyDescent="0.2">
      <c r="A15" s="178">
        <f t="shared" si="8"/>
        <v>43621</v>
      </c>
      <c r="B15" s="179">
        <v>8695.15</v>
      </c>
      <c r="C15" s="180">
        <v>16861.78</v>
      </c>
      <c r="D15" s="179">
        <v>770.11</v>
      </c>
      <c r="E15" s="179">
        <f>348.91+1165.37</f>
        <v>1514.28</v>
      </c>
      <c r="F15" s="180">
        <v>211.78</v>
      </c>
      <c r="G15" s="179">
        <f t="shared" si="0"/>
        <v>28053.1</v>
      </c>
      <c r="H15" s="180">
        <f>-6202.97-H14</f>
        <v>-4813.18</v>
      </c>
      <c r="I15" s="179">
        <v>38512.58</v>
      </c>
      <c r="J15" s="180">
        <v>16923.580000000002</v>
      </c>
      <c r="K15" s="184">
        <f t="shared" si="3"/>
        <v>55436.160000000003</v>
      </c>
      <c r="L15" s="208">
        <f t="shared" si="1"/>
        <v>-12823.48</v>
      </c>
      <c r="M15" s="208">
        <f t="shared" si="2"/>
        <v>42612.680000000008</v>
      </c>
      <c r="N15" s="179">
        <f t="shared" si="4"/>
        <v>5646.3000000000029</v>
      </c>
      <c r="Q15" s="238">
        <f t="shared" si="5"/>
        <v>0.60343711067915984</v>
      </c>
      <c r="R15" s="243">
        <f t="shared" si="6"/>
        <v>422.54399999999998</v>
      </c>
      <c r="S15" s="243">
        <f t="shared" si="7"/>
        <v>205.66300884955751</v>
      </c>
    </row>
    <row r="16" spans="1:19" s="177" customFormat="1" x14ac:dyDescent="0.2">
      <c r="A16" s="178">
        <f t="shared" si="8"/>
        <v>43652</v>
      </c>
      <c r="B16" s="179">
        <v>3938.44</v>
      </c>
      <c r="C16" s="180">
        <v>6861.37</v>
      </c>
      <c r="D16" s="179">
        <v>3464.28</v>
      </c>
      <c r="E16" s="179">
        <f>716.07+2304.48</f>
        <v>3020.55</v>
      </c>
      <c r="F16" s="180">
        <v>403.04</v>
      </c>
      <c r="G16" s="179">
        <f t="shared" si="0"/>
        <v>17687.68</v>
      </c>
      <c r="H16" s="180">
        <f>-7441.63-H15-H14</f>
        <v>-1238.6599999999999</v>
      </c>
      <c r="I16" s="179">
        <v>37787.910000000003</v>
      </c>
      <c r="J16" s="180">
        <v>35616.730000000003</v>
      </c>
      <c r="K16" s="184">
        <f t="shared" si="3"/>
        <v>73404.640000000014</v>
      </c>
      <c r="L16" s="208">
        <f t="shared" si="1"/>
        <v>-12823.48</v>
      </c>
      <c r="M16" s="225">
        <f t="shared" si="2"/>
        <v>60581.160000000018</v>
      </c>
      <c r="N16" s="179">
        <f t="shared" si="4"/>
        <v>18861.570000000003</v>
      </c>
      <c r="Q16" s="238">
        <f t="shared" si="5"/>
        <v>0.43529848567967899</v>
      </c>
      <c r="R16" s="243">
        <f t="shared" si="6"/>
        <v>299.07309090909092</v>
      </c>
      <c r="S16" s="243">
        <f t="shared" si="7"/>
        <v>146.86625000000001</v>
      </c>
    </row>
    <row r="17" spans="1:22" s="177" customFormat="1" x14ac:dyDescent="0.2">
      <c r="A17" s="178">
        <f t="shared" si="8"/>
        <v>43683</v>
      </c>
      <c r="B17" s="179">
        <v>2477</v>
      </c>
      <c r="C17" s="180">
        <v>4051</v>
      </c>
      <c r="D17" s="179">
        <v>9545</v>
      </c>
      <c r="E17" s="179">
        <v>1210</v>
      </c>
      <c r="F17" s="180">
        <v>850</v>
      </c>
      <c r="G17" s="179">
        <f>SUM(B17:F17)</f>
        <v>18133</v>
      </c>
      <c r="H17" s="180">
        <v>-1859</v>
      </c>
      <c r="I17" s="179">
        <v>37427.35</v>
      </c>
      <c r="J17" s="180">
        <v>34233</v>
      </c>
      <c r="K17" s="184">
        <f t="shared" si="3"/>
        <v>71660.350000000006</v>
      </c>
      <c r="L17" s="208">
        <f t="shared" si="1"/>
        <v>-12823.48</v>
      </c>
      <c r="M17" s="208">
        <f t="shared" si="2"/>
        <v>58836.87000000001</v>
      </c>
      <c r="N17" s="179">
        <f t="shared" si="4"/>
        <v>17435.349999999999</v>
      </c>
      <c r="Q17" s="238">
        <f t="shared" si="5"/>
        <v>0.43481571631440646</v>
      </c>
      <c r="R17" s="243">
        <f t="shared" si="6"/>
        <v>295.89090909090908</v>
      </c>
      <c r="S17" s="243">
        <f t="shared" si="7"/>
        <v>149.30275229357798</v>
      </c>
    </row>
    <row r="18" spans="1:22" s="177" customFormat="1" x14ac:dyDescent="0.2">
      <c r="A18" s="178">
        <f t="shared" si="8"/>
        <v>43714</v>
      </c>
      <c r="B18" s="179">
        <v>17638.53</v>
      </c>
      <c r="C18" s="180">
        <v>5189.43</v>
      </c>
      <c r="D18" s="179">
        <v>781.57</v>
      </c>
      <c r="E18" s="179">
        <f>452.67+2225.84</f>
        <v>2678.51</v>
      </c>
      <c r="F18" s="180">
        <v>221.08</v>
      </c>
      <c r="G18" s="179">
        <f>SUM(B18:F18)</f>
        <v>26509.120000000003</v>
      </c>
      <c r="H18" s="180">
        <v>-2338.71</v>
      </c>
      <c r="I18" s="179">
        <v>37752.559999999998</v>
      </c>
      <c r="J18" s="180">
        <v>37752.559999999998</v>
      </c>
      <c r="K18" s="184">
        <f t="shared" si="3"/>
        <v>75505.119999999995</v>
      </c>
      <c r="L18" s="208">
        <f t="shared" si="1"/>
        <v>-13272.919999999998</v>
      </c>
      <c r="M18" s="208">
        <f t="shared" si="2"/>
        <v>62232.2</v>
      </c>
      <c r="N18" s="179">
        <f t="shared" si="4"/>
        <v>8904.7299999999959</v>
      </c>
      <c r="Q18" s="238">
        <f t="shared" si="5"/>
        <v>0.64023234450855793</v>
      </c>
      <c r="R18" s="243">
        <f t="shared" si="6"/>
        <v>424.04228070175446</v>
      </c>
      <c r="S18" s="243">
        <f t="shared" si="7"/>
        <v>215.80723214285717</v>
      </c>
    </row>
    <row r="19" spans="1:22" s="177" customFormat="1" x14ac:dyDescent="0.2">
      <c r="A19" s="178">
        <f t="shared" si="8"/>
        <v>43745</v>
      </c>
      <c r="B19" s="179">
        <v>25257</v>
      </c>
      <c r="C19" s="180">
        <v>14611.26</v>
      </c>
      <c r="D19" s="179">
        <v>592.15</v>
      </c>
      <c r="E19" s="179">
        <f>194.16+1840.29</f>
        <v>2034.45</v>
      </c>
      <c r="F19" s="180">
        <v>400.31</v>
      </c>
      <c r="G19" s="179">
        <f>SUM(B19:F19)</f>
        <v>42895.17</v>
      </c>
      <c r="H19" s="180">
        <v>-1123.02</v>
      </c>
      <c r="I19" s="179">
        <v>37052.11</v>
      </c>
      <c r="J19" s="180">
        <v>37773.24</v>
      </c>
      <c r="K19" s="184">
        <f t="shared" si="3"/>
        <v>74825.350000000006</v>
      </c>
      <c r="L19" s="208">
        <f t="shared" si="1"/>
        <v>-12666.21</v>
      </c>
      <c r="M19" s="208">
        <f t="shared" si="2"/>
        <v>62159.140000000007</v>
      </c>
      <c r="N19" s="179">
        <f t="shared" si="4"/>
        <v>-6966.0799999999981</v>
      </c>
      <c r="Q19" s="247">
        <f t="shared" si="5"/>
        <v>1.1273892364024614</v>
      </c>
      <c r="R19" s="243">
        <f t="shared" si="6"/>
        <v>720.20948275862077</v>
      </c>
      <c r="S19" s="243">
        <f t="shared" si="7"/>
        <v>390.39392523364489</v>
      </c>
    </row>
    <row r="20" spans="1:22" s="177" customFormat="1" x14ac:dyDescent="0.2">
      <c r="A20" s="178">
        <f t="shared" si="8"/>
        <v>43776</v>
      </c>
      <c r="B20" s="179">
        <v>5309.58</v>
      </c>
      <c r="C20" s="180">
        <v>6321.24</v>
      </c>
      <c r="D20" s="179">
        <v>279.85000000000002</v>
      </c>
      <c r="E20" s="179">
        <f>623.33+1407.87</f>
        <v>2031.1999999999998</v>
      </c>
      <c r="F20" s="180">
        <v>264.39</v>
      </c>
      <c r="G20" s="179">
        <f>SUM(B20:F20)</f>
        <v>14206.259999999998</v>
      </c>
      <c r="H20" s="180">
        <v>-517.61</v>
      </c>
      <c r="I20" s="179">
        <v>36691.550000000003</v>
      </c>
      <c r="J20" s="180">
        <v>35553.129999999997</v>
      </c>
      <c r="K20" s="184">
        <f t="shared" si="3"/>
        <v>72244.679999999993</v>
      </c>
      <c r="L20" s="208">
        <f t="shared" si="1"/>
        <v>-13044.060000000001</v>
      </c>
      <c r="M20" s="208">
        <f t="shared" si="2"/>
        <v>59200.619999999995</v>
      </c>
      <c r="N20" s="179">
        <f t="shared" si="4"/>
        <v>21967.680000000004</v>
      </c>
      <c r="Q20" s="238">
        <f t="shared" si="5"/>
        <v>0.37307363684554062</v>
      </c>
      <c r="R20" s="243">
        <f t="shared" si="6"/>
        <v>232.01101694915249</v>
      </c>
      <c r="S20" s="243">
        <f t="shared" si="7"/>
        <v>127.93130841121493</v>
      </c>
    </row>
    <row r="21" spans="1:22" s="177" customFormat="1" ht="17.25" thickBot="1" x14ac:dyDescent="0.25">
      <c r="A21" s="178">
        <f t="shared" si="8"/>
        <v>43807</v>
      </c>
      <c r="B21" s="203">
        <v>8100.44</v>
      </c>
      <c r="C21" s="180">
        <v>6971.81</v>
      </c>
      <c r="D21" s="179">
        <v>615.95000000000005</v>
      </c>
      <c r="E21" s="179">
        <f>221.37+1996.22</f>
        <v>2217.59</v>
      </c>
      <c r="F21" s="180">
        <v>234.72</v>
      </c>
      <c r="G21" s="179">
        <f>SUM(B21:F21)</f>
        <v>18140.510000000002</v>
      </c>
      <c r="H21" s="180">
        <v>-44.8</v>
      </c>
      <c r="I21" s="179">
        <v>37108.839999999997</v>
      </c>
      <c r="J21" s="180">
        <v>37526.129999999997</v>
      </c>
      <c r="K21" s="184">
        <f t="shared" si="3"/>
        <v>74634.97</v>
      </c>
      <c r="L21" s="208">
        <f t="shared" si="1"/>
        <v>-13158.5</v>
      </c>
      <c r="M21" s="208">
        <f t="shared" si="2"/>
        <v>61476.47</v>
      </c>
      <c r="N21" s="179">
        <f t="shared" si="4"/>
        <v>18923.529999999995</v>
      </c>
      <c r="O21" s="230" t="s">
        <v>112</v>
      </c>
      <c r="P21" s="230" t="s">
        <v>111</v>
      </c>
      <c r="Q21" s="239">
        <f t="shared" si="5"/>
        <v>0.48763879442203001</v>
      </c>
      <c r="R21" s="243">
        <f t="shared" si="6"/>
        <v>301.59516666666673</v>
      </c>
      <c r="S21" s="243">
        <f t="shared" si="7"/>
        <v>166.01568807339453</v>
      </c>
    </row>
    <row r="22" spans="1:22" s="177" customFormat="1" ht="17.25" thickBot="1" x14ac:dyDescent="0.25">
      <c r="A22" s="185" t="s">
        <v>36</v>
      </c>
      <c r="B22" s="186">
        <f t="shared" ref="B22:K22" si="9">SUM(B10:B21)</f>
        <v>127269.78</v>
      </c>
      <c r="C22" s="187">
        <f>SUM(C10:C21)</f>
        <v>115461.35999999999</v>
      </c>
      <c r="D22" s="188">
        <f t="shared" si="9"/>
        <v>41149.06</v>
      </c>
      <c r="E22" s="187">
        <f t="shared" si="9"/>
        <v>20135.66</v>
      </c>
      <c r="F22" s="188">
        <f t="shared" si="9"/>
        <v>3656.8599999999992</v>
      </c>
      <c r="G22" s="187">
        <f t="shared" si="9"/>
        <v>307672.72000000003</v>
      </c>
      <c r="H22" s="187">
        <f t="shared" si="9"/>
        <v>-13324.77</v>
      </c>
      <c r="I22" s="187">
        <f t="shared" si="9"/>
        <v>445636.5</v>
      </c>
      <c r="J22" s="189">
        <f t="shared" si="9"/>
        <v>264431.89</v>
      </c>
      <c r="K22" s="188">
        <f t="shared" si="9"/>
        <v>710068.3899999999</v>
      </c>
      <c r="L22" s="209">
        <f>SUM(L10:L21)</f>
        <v>-154067.74</v>
      </c>
      <c r="M22" s="209">
        <f>SUM(M10:M21)</f>
        <v>556000.65</v>
      </c>
      <c r="N22" s="187">
        <f>SUM(N10:N21)</f>
        <v>124639.01</v>
      </c>
      <c r="O22" s="230">
        <v>136746.39000000001</v>
      </c>
      <c r="P22" s="230">
        <f>O22-N22</f>
        <v>12107.380000000019</v>
      </c>
      <c r="Q22" s="240">
        <f>AVERAGE(Q10:Q21)</f>
        <v>0.66183250000415483</v>
      </c>
      <c r="R22" s="244">
        <f>AVERAGE(R10:R21)</f>
        <v>455.70667595236984</v>
      </c>
      <c r="S22" s="244">
        <f>AVERAGE(S10:S21)</f>
        <v>225.83986662352004</v>
      </c>
    </row>
    <row r="23" spans="1:22" s="142" customFormat="1" ht="24" customHeight="1" thickBot="1" x14ac:dyDescent="0.35">
      <c r="A23" s="228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N23" s="229" t="s">
        <v>88</v>
      </c>
      <c r="R23" s="83"/>
      <c r="S23" s="83"/>
    </row>
    <row r="24" spans="1:22" ht="17.25" thickBot="1" x14ac:dyDescent="0.35">
      <c r="A24" s="104" t="s">
        <v>74</v>
      </c>
      <c r="N24" s="227">
        <f>N22/2</f>
        <v>62319.504999999997</v>
      </c>
    </row>
    <row r="25" spans="1:22" x14ac:dyDescent="0.3">
      <c r="I25" s="84"/>
      <c r="J25" s="84"/>
      <c r="K25" s="84"/>
      <c r="L25" s="84"/>
    </row>
    <row r="26" spans="1:22" ht="14.25" customHeight="1" x14ac:dyDescent="0.3">
      <c r="B26" s="168" t="s">
        <v>94</v>
      </c>
      <c r="C26" s="81"/>
      <c r="D26" s="81"/>
      <c r="E26" s="81"/>
      <c r="F26" s="81"/>
      <c r="G26" s="105" t="s">
        <v>116</v>
      </c>
      <c r="H26" s="106"/>
      <c r="I26" s="106"/>
      <c r="K26" s="105" t="s">
        <v>101</v>
      </c>
      <c r="M26" s="107"/>
      <c r="N26" s="83"/>
      <c r="V26" s="83"/>
    </row>
    <row r="27" spans="1:22" ht="17.25" thickBot="1" x14ac:dyDescent="0.35">
      <c r="B27" s="81"/>
      <c r="C27" s="81"/>
      <c r="D27" s="81"/>
      <c r="E27" s="81"/>
      <c r="F27" s="81"/>
      <c r="G27" s="106"/>
      <c r="H27" s="106"/>
      <c r="I27" s="106"/>
      <c r="K27" s="106"/>
      <c r="L27" s="106"/>
      <c r="M27" s="108"/>
      <c r="N27" s="83"/>
      <c r="V27" s="83"/>
    </row>
    <row r="28" spans="1:22" ht="33.75" thickBot="1" x14ac:dyDescent="0.35">
      <c r="B28" s="169" t="s">
        <v>95</v>
      </c>
      <c r="C28" s="170" t="s">
        <v>96</v>
      </c>
      <c r="D28" s="171" t="s">
        <v>97</v>
      </c>
      <c r="E28" s="81"/>
      <c r="F28" s="81"/>
      <c r="G28" s="75" t="s">
        <v>75</v>
      </c>
      <c r="H28" s="89" t="s">
        <v>76</v>
      </c>
      <c r="I28" s="75" t="s">
        <v>100</v>
      </c>
      <c r="J28" s="109"/>
      <c r="K28" s="75" t="s">
        <v>102</v>
      </c>
      <c r="L28" s="109"/>
      <c r="M28" s="83"/>
      <c r="Q28" s="241"/>
      <c r="S28" s="84"/>
    </row>
    <row r="29" spans="1:22" x14ac:dyDescent="0.3">
      <c r="A29" s="90">
        <v>43466</v>
      </c>
      <c r="B29" s="214">
        <f t="shared" ref="B29:B36" si="10">SUMPRODUCT(I67:L67,$B$103:$E$103)</f>
        <v>3335.29</v>
      </c>
      <c r="C29" s="210">
        <f t="shared" ref="C29:C36" si="11">(SUMPRODUCT(I67:L67,$B$104:$E$104))*-1</f>
        <v>-992.23</v>
      </c>
      <c r="D29" s="211">
        <f t="shared" ref="D29:D36" si="12">B29+C29</f>
        <v>2343.06</v>
      </c>
      <c r="E29" s="90"/>
      <c r="F29" s="90"/>
      <c r="G29" s="216">
        <f>838.86+228.78</f>
        <v>1067.6400000000001</v>
      </c>
      <c r="H29" s="217">
        <v>985.19</v>
      </c>
      <c r="I29" s="245">
        <f>SUM(G29:H29)</f>
        <v>2052.83</v>
      </c>
      <c r="J29" s="218"/>
      <c r="K29" s="91">
        <f t="shared" ref="K29:K40" si="13">M10+D29+I29</f>
        <v>58884.979999999996</v>
      </c>
      <c r="L29" s="114"/>
      <c r="M29" s="83"/>
      <c r="Q29" s="241"/>
      <c r="S29" s="84"/>
    </row>
    <row r="30" spans="1:22" x14ac:dyDescent="0.3">
      <c r="A30" s="90">
        <f>31+A29</f>
        <v>43497</v>
      </c>
      <c r="B30" s="214">
        <f t="shared" si="10"/>
        <v>3335.29</v>
      </c>
      <c r="C30" s="210">
        <f t="shared" si="11"/>
        <v>-992.23</v>
      </c>
      <c r="D30" s="211">
        <f t="shared" si="12"/>
        <v>2343.06</v>
      </c>
      <c r="E30" s="90"/>
      <c r="F30" s="90"/>
      <c r="G30" s="216">
        <f>855.25+233.25</f>
        <v>1088.5</v>
      </c>
      <c r="H30" s="217">
        <v>1027.9000000000001</v>
      </c>
      <c r="I30" s="216">
        <f t="shared" ref="I30:I41" si="14">SUM(G30:H30)</f>
        <v>2116.4</v>
      </c>
      <c r="J30" s="218"/>
      <c r="K30" s="91">
        <f t="shared" si="13"/>
        <v>62054.470000000008</v>
      </c>
      <c r="L30" s="114"/>
      <c r="M30" s="83"/>
      <c r="Q30" s="241"/>
      <c r="S30" s="84"/>
    </row>
    <row r="31" spans="1:22" x14ac:dyDescent="0.3">
      <c r="A31" s="90">
        <f t="shared" ref="A31:A40" si="15">31+A30</f>
        <v>43528</v>
      </c>
      <c r="B31" s="214">
        <f t="shared" si="10"/>
        <v>3490.9</v>
      </c>
      <c r="C31" s="210">
        <f t="shared" si="11"/>
        <v>-1038.2199999999998</v>
      </c>
      <c r="D31" s="211">
        <f t="shared" si="12"/>
        <v>2452.6800000000003</v>
      </c>
      <c r="E31" s="90"/>
      <c r="F31" s="90"/>
      <c r="G31" s="216">
        <f>821.7+224.1</f>
        <v>1045.8</v>
      </c>
      <c r="H31" s="217">
        <v>969.8</v>
      </c>
      <c r="I31" s="216">
        <f t="shared" si="14"/>
        <v>2015.6</v>
      </c>
      <c r="J31" s="218"/>
      <c r="K31" s="91">
        <f t="shared" si="13"/>
        <v>61577.99</v>
      </c>
      <c r="L31" s="114"/>
      <c r="M31" s="83"/>
      <c r="Q31" s="241"/>
      <c r="S31" s="84"/>
    </row>
    <row r="32" spans="1:22" x14ac:dyDescent="0.3">
      <c r="A32" s="90">
        <f t="shared" si="15"/>
        <v>43559</v>
      </c>
      <c r="B32" s="214">
        <f t="shared" si="10"/>
        <v>3527.49</v>
      </c>
      <c r="C32" s="210">
        <f t="shared" si="11"/>
        <v>-1049.1999999999998</v>
      </c>
      <c r="D32" s="211">
        <f t="shared" si="12"/>
        <v>2478.29</v>
      </c>
      <c r="E32" s="90"/>
      <c r="F32" s="90"/>
      <c r="G32" s="216">
        <f>904.09+248.57</f>
        <v>1152.6600000000001</v>
      </c>
      <c r="H32" s="217">
        <v>1058.3699999999999</v>
      </c>
      <c r="I32" s="216">
        <f t="shared" si="14"/>
        <v>2211.0299999999997</v>
      </c>
      <c r="J32" s="218"/>
      <c r="K32" s="91">
        <f t="shared" si="13"/>
        <v>-22646.6</v>
      </c>
      <c r="L32" s="114"/>
      <c r="M32" s="83"/>
      <c r="Q32" s="241"/>
      <c r="S32" s="84"/>
    </row>
    <row r="33" spans="1:19" x14ac:dyDescent="0.3">
      <c r="A33" s="90">
        <f t="shared" si="15"/>
        <v>43590</v>
      </c>
      <c r="B33" s="214">
        <f t="shared" si="10"/>
        <v>3622.32</v>
      </c>
      <c r="C33" s="210">
        <f t="shared" si="11"/>
        <v>-1076.97</v>
      </c>
      <c r="D33" s="211">
        <f t="shared" si="12"/>
        <v>2545.3500000000004</v>
      </c>
      <c r="E33" s="90"/>
      <c r="F33" s="90"/>
      <c r="G33" s="216">
        <f>914.87+549.51</f>
        <v>1464.38</v>
      </c>
      <c r="H33" s="217">
        <v>1080.75</v>
      </c>
      <c r="I33" s="216">
        <f t="shared" si="14"/>
        <v>2545.13</v>
      </c>
      <c r="J33" s="219"/>
      <c r="K33" s="91">
        <f t="shared" si="13"/>
        <v>12134.099999999999</v>
      </c>
      <c r="L33" s="116"/>
      <c r="M33" s="83"/>
      <c r="Q33" s="241"/>
      <c r="S33" s="84"/>
    </row>
    <row r="34" spans="1:19" x14ac:dyDescent="0.3">
      <c r="A34" s="90">
        <f t="shared" si="15"/>
        <v>43621</v>
      </c>
      <c r="B34" s="214">
        <f t="shared" si="10"/>
        <v>3622.32</v>
      </c>
      <c r="C34" s="210">
        <f t="shared" si="11"/>
        <v>-1076.97</v>
      </c>
      <c r="D34" s="211">
        <f t="shared" si="12"/>
        <v>2545.3500000000004</v>
      </c>
      <c r="E34" s="90"/>
      <c r="F34" s="90"/>
      <c r="G34" s="216">
        <f>918.06+250.38</f>
        <v>1168.44</v>
      </c>
      <c r="H34" s="217">
        <v>1087.3399999999999</v>
      </c>
      <c r="I34" s="216">
        <f t="shared" si="14"/>
        <v>2255.7799999999997</v>
      </c>
      <c r="J34" s="219"/>
      <c r="K34" s="91">
        <f t="shared" si="13"/>
        <v>47413.810000000005</v>
      </c>
      <c r="L34" s="116"/>
      <c r="M34" s="83"/>
      <c r="Q34" s="241"/>
      <c r="S34" s="84"/>
    </row>
    <row r="35" spans="1:19" x14ac:dyDescent="0.3">
      <c r="A35" s="90">
        <f t="shared" si="15"/>
        <v>43652</v>
      </c>
      <c r="B35" s="214">
        <f>SUMPRODUCT(I73:L73,$B$103:$E$103)</f>
        <v>3622.32</v>
      </c>
      <c r="C35" s="210">
        <f>(SUMPRODUCT(I73:L73,$B$104:$E$104))*-1</f>
        <v>-1076.97</v>
      </c>
      <c r="D35" s="224">
        <f>B35+C35</f>
        <v>2545.3500000000004</v>
      </c>
      <c r="E35" s="90"/>
      <c r="F35" s="90"/>
      <c r="G35" s="216">
        <f>935.33+255.09</f>
        <v>1190.42</v>
      </c>
      <c r="H35" s="217">
        <v>1098.8499999999999</v>
      </c>
      <c r="I35" s="216">
        <f t="shared" si="14"/>
        <v>2289.27</v>
      </c>
      <c r="J35" s="219"/>
      <c r="K35" s="91">
        <f t="shared" si="13"/>
        <v>65415.780000000013</v>
      </c>
      <c r="L35" s="116"/>
      <c r="M35" s="83"/>
      <c r="Q35" s="241"/>
      <c r="S35" s="84"/>
    </row>
    <row r="36" spans="1:19" x14ac:dyDescent="0.3">
      <c r="A36" s="90">
        <f t="shared" si="15"/>
        <v>43683</v>
      </c>
      <c r="B36" s="214">
        <f t="shared" si="10"/>
        <v>3622.32</v>
      </c>
      <c r="C36" s="210">
        <f t="shared" si="11"/>
        <v>-1076.97</v>
      </c>
      <c r="D36" s="211">
        <f t="shared" si="12"/>
        <v>2545.3500000000004</v>
      </c>
      <c r="E36" s="90"/>
      <c r="F36" s="90"/>
      <c r="G36" s="216">
        <v>1127</v>
      </c>
      <c r="H36" s="217">
        <v>1041</v>
      </c>
      <c r="I36" s="216">
        <f t="shared" si="14"/>
        <v>2168</v>
      </c>
      <c r="J36" s="219"/>
      <c r="K36" s="91">
        <f t="shared" si="13"/>
        <v>63550.220000000008</v>
      </c>
      <c r="L36" s="116"/>
      <c r="M36" s="83"/>
      <c r="Q36" s="241"/>
      <c r="S36" s="84"/>
    </row>
    <row r="37" spans="1:19" x14ac:dyDescent="0.3">
      <c r="A37" s="90">
        <f t="shared" si="15"/>
        <v>43714</v>
      </c>
      <c r="B37" s="214">
        <f>SUMPRODUCT(I75:L75,$B$103:$E$103)</f>
        <v>3725.8900000000003</v>
      </c>
      <c r="C37" s="210">
        <f>(SUMPRODUCT(I75:L75,$B$104:$E$104))*-1</f>
        <v>-1108.04</v>
      </c>
      <c r="D37" s="211">
        <f>B37+C37</f>
        <v>2617.8500000000004</v>
      </c>
      <c r="E37" s="90"/>
      <c r="F37" s="90"/>
      <c r="G37" s="216">
        <f>892.76+243.48</f>
        <v>1136.24</v>
      </c>
      <c r="H37" s="217">
        <v>1057.3800000000001</v>
      </c>
      <c r="I37" s="216">
        <f t="shared" si="14"/>
        <v>2193.62</v>
      </c>
      <c r="J37" s="219"/>
      <c r="K37" s="91">
        <f t="shared" si="13"/>
        <v>67043.67</v>
      </c>
      <c r="L37" s="116"/>
      <c r="M37" s="83"/>
      <c r="Q37" s="241"/>
      <c r="S37" s="84"/>
    </row>
    <row r="38" spans="1:19" x14ac:dyDescent="0.3">
      <c r="A38" s="90">
        <f t="shared" si="15"/>
        <v>43745</v>
      </c>
      <c r="B38" s="214">
        <f>SUMPRODUCT(I76:L76,$B$103:$E$103)</f>
        <v>3747.0300000000007</v>
      </c>
      <c r="C38" s="210">
        <f>(SUMPRODUCT(I76:L76,$B$104:$E$104))*-1</f>
        <v>-1115.08</v>
      </c>
      <c r="D38" s="211">
        <f>B38+C38</f>
        <v>2631.9500000000007</v>
      </c>
      <c r="E38" s="90"/>
      <c r="F38" s="90"/>
      <c r="G38" s="216">
        <f>932.58+254.34</f>
        <v>1186.92</v>
      </c>
      <c r="H38" s="217">
        <v>1105.58</v>
      </c>
      <c r="I38" s="216">
        <f t="shared" si="14"/>
        <v>2292.5</v>
      </c>
      <c r="J38" s="219"/>
      <c r="K38" s="91">
        <f t="shared" si="13"/>
        <v>67083.590000000011</v>
      </c>
      <c r="L38" s="116"/>
      <c r="M38" s="83"/>
      <c r="Q38" s="241"/>
      <c r="S38" s="84"/>
    </row>
    <row r="39" spans="1:19" x14ac:dyDescent="0.3">
      <c r="A39" s="90">
        <f t="shared" si="15"/>
        <v>43776</v>
      </c>
      <c r="B39" s="214">
        <f>SUMPRODUCT(I77:L77,$B$103:$E$103)</f>
        <v>3747.0300000000007</v>
      </c>
      <c r="C39" s="210">
        <f>(SUMPRODUCT(I77:L77,$B$104:$E$104))*-1</f>
        <v>-1115.08</v>
      </c>
      <c r="D39" s="211">
        <f>B39+C39</f>
        <v>2631.9500000000007</v>
      </c>
      <c r="E39" s="90"/>
      <c r="F39" s="90"/>
      <c r="G39" s="216">
        <f>917.62+250.26</f>
        <v>1167.8800000000001</v>
      </c>
      <c r="H39" s="217">
        <v>1087.99</v>
      </c>
      <c r="I39" s="216">
        <f t="shared" si="14"/>
        <v>2255.87</v>
      </c>
      <c r="J39" s="219"/>
      <c r="K39" s="91">
        <f t="shared" si="13"/>
        <v>64088.439999999995</v>
      </c>
      <c r="L39" s="116"/>
      <c r="M39" s="83"/>
      <c r="Q39" s="241"/>
      <c r="S39" s="84"/>
    </row>
    <row r="40" spans="1:19" ht="17.25" thickBot="1" x14ac:dyDescent="0.35">
      <c r="A40" s="90">
        <f t="shared" si="15"/>
        <v>43807</v>
      </c>
      <c r="B40" s="214">
        <f>SUMPRODUCT(I78:L78,$B$103:$E$103)</f>
        <v>3783.62</v>
      </c>
      <c r="C40" s="210">
        <f>(SUMPRODUCT(I78:L78,$B$104:$E$104))*-1</f>
        <v>-1126.06</v>
      </c>
      <c r="D40" s="211">
        <f>B40+C40</f>
        <v>2657.56</v>
      </c>
      <c r="E40" s="90"/>
      <c r="F40" s="90"/>
      <c r="G40" s="216">
        <f>919.86+250.87</f>
        <v>1170.73</v>
      </c>
      <c r="H40" s="217">
        <v>1095.46</v>
      </c>
      <c r="I40" s="246">
        <f t="shared" si="14"/>
        <v>2266.19</v>
      </c>
      <c r="J40" s="219"/>
      <c r="K40" s="91">
        <f t="shared" si="13"/>
        <v>66400.22</v>
      </c>
      <c r="L40" s="116"/>
      <c r="M40" s="83"/>
      <c r="Q40" s="241"/>
      <c r="S40" s="84"/>
    </row>
    <row r="41" spans="1:19" s="172" customFormat="1" ht="17.25" thickBot="1" x14ac:dyDescent="0.35">
      <c r="A41" s="99" t="s">
        <v>91</v>
      </c>
      <c r="B41" s="215">
        <f>SUM(B29:B40)</f>
        <v>43181.82</v>
      </c>
      <c r="C41" s="212">
        <f>SUM(C29:C40)</f>
        <v>-12844.019999999999</v>
      </c>
      <c r="D41" s="213">
        <f>SUM(D29:D40)</f>
        <v>30337.8</v>
      </c>
      <c r="E41" s="99"/>
      <c r="F41" s="99"/>
      <c r="G41" s="220">
        <f>SUM(G29:G40)</f>
        <v>13966.61</v>
      </c>
      <c r="H41" s="220">
        <f>SUM(H29:H40)</f>
        <v>12695.61</v>
      </c>
      <c r="I41" s="220">
        <f t="shared" si="14"/>
        <v>26662.22</v>
      </c>
      <c r="J41" s="221"/>
      <c r="K41" s="101">
        <f>SUM(K29:K40)</f>
        <v>613000.67000000004</v>
      </c>
      <c r="L41" s="190"/>
      <c r="M41" s="173"/>
      <c r="Q41" s="242"/>
      <c r="R41" s="242"/>
    </row>
    <row r="43" spans="1:19" x14ac:dyDescent="0.3">
      <c r="A43" s="99"/>
      <c r="K43" s="84"/>
      <c r="L43" s="84"/>
    </row>
    <row r="44" spans="1:19" ht="20.25" x14ac:dyDescent="0.3">
      <c r="A44" s="99"/>
      <c r="B44" s="165" t="s">
        <v>87</v>
      </c>
      <c r="E44" s="173"/>
      <c r="K44" s="84"/>
      <c r="L44" s="84"/>
    </row>
    <row r="45" spans="1:19" ht="20.25" x14ac:dyDescent="0.3">
      <c r="A45" s="99"/>
      <c r="B45" s="165" t="s">
        <v>0</v>
      </c>
      <c r="K45" s="84"/>
      <c r="L45" s="84"/>
    </row>
    <row r="46" spans="1:19" x14ac:dyDescent="0.3">
      <c r="A46" s="99"/>
      <c r="B46" s="85" t="s">
        <v>90</v>
      </c>
      <c r="K46" s="84"/>
      <c r="L46" s="84"/>
    </row>
    <row r="47" spans="1:19" x14ac:dyDescent="0.3">
      <c r="A47" s="99"/>
      <c r="K47" s="84"/>
      <c r="L47" s="84"/>
    </row>
    <row r="48" spans="1:19" ht="14.25" customHeight="1" x14ac:dyDescent="0.3">
      <c r="B48" s="86" t="s">
        <v>63</v>
      </c>
      <c r="C48" s="86"/>
      <c r="D48" s="86"/>
      <c r="E48" s="86"/>
      <c r="F48" s="86"/>
      <c r="G48" s="86"/>
      <c r="H48" s="86"/>
      <c r="I48" s="86"/>
      <c r="J48" s="86"/>
    </row>
    <row r="49" spans="1:12" ht="17.25" thickBot="1" x14ac:dyDescent="0.35">
      <c r="B49" s="86"/>
      <c r="C49" s="86"/>
      <c r="D49" s="86"/>
      <c r="E49" s="86"/>
      <c r="F49" s="86"/>
      <c r="G49" s="86"/>
      <c r="H49" s="86"/>
      <c r="I49" s="86"/>
      <c r="J49" s="86"/>
    </row>
    <row r="50" spans="1:12" ht="33.75" thickBot="1" x14ac:dyDescent="0.35">
      <c r="A50" s="119"/>
      <c r="B50" s="74" t="s">
        <v>39</v>
      </c>
      <c r="C50" s="75" t="s">
        <v>40</v>
      </c>
      <c r="D50" s="76" t="s">
        <v>41</v>
      </c>
      <c r="E50" s="75" t="s">
        <v>42</v>
      </c>
      <c r="F50" s="76" t="s">
        <v>43</v>
      </c>
      <c r="G50" s="75" t="s">
        <v>44</v>
      </c>
      <c r="H50" s="76" t="s">
        <v>45</v>
      </c>
      <c r="I50" s="75" t="s">
        <v>46</v>
      </c>
    </row>
    <row r="51" spans="1:12" x14ac:dyDescent="0.3">
      <c r="A51" s="90">
        <v>43466</v>
      </c>
      <c r="B51" s="120">
        <v>12</v>
      </c>
      <c r="C51" s="77">
        <v>2</v>
      </c>
      <c r="D51" s="121">
        <v>1</v>
      </c>
      <c r="E51" s="77">
        <v>4</v>
      </c>
      <c r="F51" s="121">
        <v>7</v>
      </c>
      <c r="G51" s="77">
        <v>7</v>
      </c>
      <c r="H51" s="121">
        <v>1</v>
      </c>
      <c r="I51" s="77">
        <v>5</v>
      </c>
    </row>
    <row r="52" spans="1:12" x14ac:dyDescent="0.3">
      <c r="A52" s="90">
        <f>31+A51</f>
        <v>43497</v>
      </c>
      <c r="B52" s="120">
        <v>12</v>
      </c>
      <c r="C52" s="77">
        <v>2</v>
      </c>
      <c r="D52" s="121">
        <v>1</v>
      </c>
      <c r="E52" s="77">
        <v>4</v>
      </c>
      <c r="F52" s="121">
        <v>7</v>
      </c>
      <c r="G52" s="77">
        <v>7</v>
      </c>
      <c r="H52" s="121">
        <v>1</v>
      </c>
      <c r="I52" s="77">
        <v>5</v>
      </c>
    </row>
    <row r="53" spans="1:12" x14ac:dyDescent="0.3">
      <c r="A53" s="90">
        <f t="shared" ref="A53:A62" si="16">31+A52</f>
        <v>43528</v>
      </c>
      <c r="B53" s="120">
        <v>12</v>
      </c>
      <c r="C53" s="77">
        <v>2</v>
      </c>
      <c r="D53" s="121">
        <v>1</v>
      </c>
      <c r="E53" s="77">
        <v>4</v>
      </c>
      <c r="F53" s="121">
        <v>7</v>
      </c>
      <c r="G53" s="77">
        <v>7</v>
      </c>
      <c r="H53" s="121">
        <v>1</v>
      </c>
      <c r="I53" s="77">
        <v>5</v>
      </c>
    </row>
    <row r="54" spans="1:12" x14ac:dyDescent="0.3">
      <c r="A54" s="90">
        <f t="shared" si="16"/>
        <v>43559</v>
      </c>
      <c r="B54" s="120">
        <v>12</v>
      </c>
      <c r="C54" s="77">
        <v>2</v>
      </c>
      <c r="D54" s="121">
        <v>1</v>
      </c>
      <c r="E54" s="77">
        <v>4</v>
      </c>
      <c r="F54" s="121">
        <v>7</v>
      </c>
      <c r="G54" s="77">
        <v>7</v>
      </c>
      <c r="H54" s="121">
        <v>1</v>
      </c>
      <c r="I54" s="77">
        <v>5</v>
      </c>
      <c r="K54" s="226"/>
      <c r="L54" s="226"/>
    </row>
    <row r="55" spans="1:12" x14ac:dyDescent="0.3">
      <c r="A55" s="90">
        <f t="shared" si="16"/>
        <v>43590</v>
      </c>
      <c r="B55" s="120">
        <v>13</v>
      </c>
      <c r="C55" s="77">
        <v>2</v>
      </c>
      <c r="D55" s="121">
        <v>1</v>
      </c>
      <c r="E55" s="77">
        <v>4</v>
      </c>
      <c r="F55" s="121">
        <v>8</v>
      </c>
      <c r="G55" s="77">
        <v>6</v>
      </c>
      <c r="H55" s="121">
        <v>1</v>
      </c>
      <c r="I55" s="77">
        <v>5</v>
      </c>
      <c r="K55" s="226"/>
      <c r="L55" s="226"/>
    </row>
    <row r="56" spans="1:12" x14ac:dyDescent="0.3">
      <c r="A56" s="90">
        <f t="shared" si="16"/>
        <v>43621</v>
      </c>
      <c r="B56" s="120">
        <v>15</v>
      </c>
      <c r="C56" s="77">
        <v>1</v>
      </c>
      <c r="D56" s="121">
        <v>1</v>
      </c>
      <c r="E56" s="77">
        <v>4</v>
      </c>
      <c r="F56" s="121">
        <v>8</v>
      </c>
      <c r="G56" s="77">
        <v>6</v>
      </c>
      <c r="H56" s="121">
        <v>1</v>
      </c>
      <c r="I56" s="77">
        <v>5</v>
      </c>
      <c r="K56" s="226"/>
      <c r="L56" s="226"/>
    </row>
    <row r="57" spans="1:12" x14ac:dyDescent="0.3">
      <c r="A57" s="90">
        <f t="shared" si="16"/>
        <v>43652</v>
      </c>
      <c r="B57" s="120">
        <v>15</v>
      </c>
      <c r="C57" s="77">
        <v>1</v>
      </c>
      <c r="D57" s="121">
        <v>1</v>
      </c>
      <c r="E57" s="77">
        <v>4</v>
      </c>
      <c r="F57" s="121">
        <v>8</v>
      </c>
      <c r="G57" s="77">
        <v>6</v>
      </c>
      <c r="H57" s="121">
        <v>1</v>
      </c>
      <c r="I57" s="77">
        <v>5</v>
      </c>
    </row>
    <row r="58" spans="1:12" x14ac:dyDescent="0.3">
      <c r="A58" s="90">
        <f t="shared" si="16"/>
        <v>43683</v>
      </c>
      <c r="B58" s="120">
        <v>15</v>
      </c>
      <c r="C58" s="77">
        <v>1</v>
      </c>
      <c r="D58" s="121">
        <v>1</v>
      </c>
      <c r="E58" s="77">
        <v>4</v>
      </c>
      <c r="F58" s="121">
        <v>8</v>
      </c>
      <c r="G58" s="77">
        <v>6</v>
      </c>
      <c r="H58" s="121">
        <v>1</v>
      </c>
      <c r="I58" s="77">
        <v>5</v>
      </c>
    </row>
    <row r="59" spans="1:12" x14ac:dyDescent="0.3">
      <c r="A59" s="90">
        <f t="shared" si="16"/>
        <v>43714</v>
      </c>
      <c r="B59" s="120">
        <v>15</v>
      </c>
      <c r="C59" s="77">
        <v>1</v>
      </c>
      <c r="D59" s="121">
        <v>2</v>
      </c>
      <c r="E59" s="77">
        <v>4</v>
      </c>
      <c r="F59" s="121">
        <v>8</v>
      </c>
      <c r="G59" s="77">
        <v>6</v>
      </c>
      <c r="H59" s="121">
        <v>1</v>
      </c>
      <c r="I59" s="77">
        <v>5</v>
      </c>
    </row>
    <row r="60" spans="1:12" x14ac:dyDescent="0.3">
      <c r="A60" s="90">
        <f t="shared" si="16"/>
        <v>43745</v>
      </c>
      <c r="B60" s="120">
        <v>16</v>
      </c>
      <c r="C60" s="77">
        <v>1</v>
      </c>
      <c r="D60" s="121">
        <v>2</v>
      </c>
      <c r="E60" s="77">
        <v>4</v>
      </c>
      <c r="F60" s="121">
        <v>10</v>
      </c>
      <c r="G60" s="77">
        <v>5</v>
      </c>
      <c r="H60" s="121">
        <v>1</v>
      </c>
      <c r="I60" s="77">
        <v>4</v>
      </c>
    </row>
    <row r="61" spans="1:12" x14ac:dyDescent="0.3">
      <c r="A61" s="90">
        <f t="shared" si="16"/>
        <v>43776</v>
      </c>
      <c r="B61" s="120">
        <v>16</v>
      </c>
      <c r="C61" s="77">
        <v>1</v>
      </c>
      <c r="D61" s="121">
        <v>2</v>
      </c>
      <c r="E61" s="77">
        <v>4</v>
      </c>
      <c r="F61" s="121">
        <v>10</v>
      </c>
      <c r="G61" s="77">
        <v>6</v>
      </c>
      <c r="H61" s="121">
        <v>1</v>
      </c>
      <c r="I61" s="77">
        <v>4</v>
      </c>
    </row>
    <row r="62" spans="1:12" ht="17.25" thickBot="1" x14ac:dyDescent="0.35">
      <c r="A62" s="90">
        <f t="shared" si="16"/>
        <v>43807</v>
      </c>
      <c r="B62" s="122">
        <v>17</v>
      </c>
      <c r="C62" s="123">
        <v>1</v>
      </c>
      <c r="D62" s="124">
        <v>2</v>
      </c>
      <c r="E62" s="123">
        <v>4</v>
      </c>
      <c r="F62" s="124">
        <v>10</v>
      </c>
      <c r="G62" s="123">
        <v>6</v>
      </c>
      <c r="H62" s="124">
        <v>1</v>
      </c>
      <c r="I62" s="123">
        <v>4</v>
      </c>
    </row>
    <row r="64" spans="1:12" ht="14.25" customHeight="1" x14ac:dyDescent="0.3">
      <c r="A64" s="125"/>
      <c r="B64" s="226" t="s">
        <v>63</v>
      </c>
      <c r="C64" s="226"/>
      <c r="D64" s="226"/>
      <c r="E64" s="226"/>
      <c r="F64" s="226"/>
      <c r="G64" s="226"/>
      <c r="H64" s="226"/>
      <c r="I64" s="191" t="s">
        <v>9</v>
      </c>
      <c r="J64" s="226"/>
    </row>
    <row r="65" spans="1:12" ht="17.25" thickBot="1" x14ac:dyDescent="0.35">
      <c r="A65" s="226"/>
      <c r="C65" s="226"/>
      <c r="D65" s="226"/>
      <c r="E65" s="226"/>
      <c r="F65" s="226"/>
      <c r="G65" s="226"/>
      <c r="H65" s="226"/>
      <c r="I65" s="84"/>
      <c r="J65" s="84"/>
    </row>
    <row r="66" spans="1:12" ht="50.25" thickBot="1" x14ac:dyDescent="0.35">
      <c r="B66" s="231" t="s">
        <v>47</v>
      </c>
      <c r="C66" s="231" t="s">
        <v>48</v>
      </c>
      <c r="D66" s="88" t="s">
        <v>50</v>
      </c>
      <c r="E66" s="231" t="s">
        <v>49</v>
      </c>
      <c r="F66" s="232" t="s">
        <v>89</v>
      </c>
      <c r="G66" s="231" t="s">
        <v>32</v>
      </c>
      <c r="H66" s="84"/>
      <c r="I66" s="174" t="s">
        <v>103</v>
      </c>
      <c r="J66" s="175" t="s">
        <v>104</v>
      </c>
      <c r="K66" s="192" t="s">
        <v>105</v>
      </c>
      <c r="L66" s="175" t="s">
        <v>106</v>
      </c>
    </row>
    <row r="67" spans="1:12" x14ac:dyDescent="0.3">
      <c r="A67" s="90">
        <v>43466</v>
      </c>
      <c r="B67" s="234">
        <v>6</v>
      </c>
      <c r="C67" s="195">
        <v>2</v>
      </c>
      <c r="D67" s="195">
        <v>1</v>
      </c>
      <c r="E67" s="195">
        <v>1</v>
      </c>
      <c r="F67" s="235">
        <f>SUM(B67:E67)+SUM(B51:I51)</f>
        <v>49</v>
      </c>
      <c r="G67" s="196">
        <v>104</v>
      </c>
      <c r="H67" s="84"/>
      <c r="I67" s="204">
        <v>21</v>
      </c>
      <c r="J67" s="202">
        <v>17</v>
      </c>
      <c r="K67" s="205">
        <v>0</v>
      </c>
      <c r="L67" s="206">
        <v>12</v>
      </c>
    </row>
    <row r="68" spans="1:12" x14ac:dyDescent="0.3">
      <c r="A68" s="90">
        <f>31+A67</f>
        <v>43497</v>
      </c>
      <c r="B68" s="120">
        <v>6</v>
      </c>
      <c r="C68" s="121">
        <v>2</v>
      </c>
      <c r="D68" s="121">
        <v>1</v>
      </c>
      <c r="E68" s="121">
        <v>1</v>
      </c>
      <c r="F68" s="233">
        <f t="shared" ref="F68:F78" si="17">SUM(B68:E68)+SUM(B52:I52)</f>
        <v>49</v>
      </c>
      <c r="G68" s="80">
        <v>103</v>
      </c>
      <c r="H68" s="84"/>
      <c r="I68" s="204">
        <v>21</v>
      </c>
      <c r="J68" s="202">
        <v>17</v>
      </c>
      <c r="K68" s="205">
        <v>0</v>
      </c>
      <c r="L68" s="206">
        <v>12</v>
      </c>
    </row>
    <row r="69" spans="1:12" x14ac:dyDescent="0.3">
      <c r="A69" s="90">
        <f t="shared" ref="A69:A78" si="18">31+A68</f>
        <v>43528</v>
      </c>
      <c r="B69" s="120">
        <v>7</v>
      </c>
      <c r="C69" s="121">
        <v>2</v>
      </c>
      <c r="D69" s="121">
        <v>1</v>
      </c>
      <c r="E69" s="121">
        <v>2</v>
      </c>
      <c r="F69" s="233">
        <f t="shared" si="17"/>
        <v>51</v>
      </c>
      <c r="G69" s="80">
        <v>109</v>
      </c>
      <c r="H69" s="84"/>
      <c r="I69" s="204">
        <v>22</v>
      </c>
      <c r="J69" s="202">
        <v>17</v>
      </c>
      <c r="K69" s="205">
        <v>0</v>
      </c>
      <c r="L69" s="206">
        <v>13</v>
      </c>
    </row>
    <row r="70" spans="1:12" x14ac:dyDescent="0.3">
      <c r="A70" s="90">
        <f t="shared" si="18"/>
        <v>43559</v>
      </c>
      <c r="B70" s="120">
        <v>8</v>
      </c>
      <c r="C70" s="121">
        <v>2</v>
      </c>
      <c r="D70" s="121">
        <v>1</v>
      </c>
      <c r="E70" s="121">
        <v>2</v>
      </c>
      <c r="F70" s="233">
        <f t="shared" si="17"/>
        <v>52</v>
      </c>
      <c r="G70" s="80">
        <v>111</v>
      </c>
      <c r="H70" s="84"/>
      <c r="I70" s="204">
        <v>23</v>
      </c>
      <c r="J70" s="202">
        <v>17</v>
      </c>
      <c r="K70" s="205">
        <v>0</v>
      </c>
      <c r="L70" s="206">
        <v>13</v>
      </c>
    </row>
    <row r="71" spans="1:12" x14ac:dyDescent="0.3">
      <c r="A71" s="90">
        <f t="shared" si="18"/>
        <v>43590</v>
      </c>
      <c r="B71" s="120">
        <v>8</v>
      </c>
      <c r="C71" s="121">
        <v>2</v>
      </c>
      <c r="D71" s="121">
        <v>1</v>
      </c>
      <c r="E71" s="121">
        <v>2</v>
      </c>
      <c r="F71" s="233">
        <f t="shared" si="17"/>
        <v>53</v>
      </c>
      <c r="G71" s="80">
        <v>112</v>
      </c>
      <c r="H71" s="84"/>
      <c r="I71" s="204">
        <v>26</v>
      </c>
      <c r="J71" s="202">
        <v>15</v>
      </c>
      <c r="K71" s="205">
        <v>0</v>
      </c>
      <c r="L71" s="206">
        <v>14</v>
      </c>
    </row>
    <row r="72" spans="1:12" x14ac:dyDescent="0.3">
      <c r="A72" s="90">
        <f t="shared" si="18"/>
        <v>43621</v>
      </c>
      <c r="B72" s="120">
        <v>8</v>
      </c>
      <c r="C72" s="121">
        <v>2</v>
      </c>
      <c r="D72" s="121">
        <v>1</v>
      </c>
      <c r="E72" s="121">
        <v>3</v>
      </c>
      <c r="F72" s="233">
        <f t="shared" si="17"/>
        <v>55</v>
      </c>
      <c r="G72" s="80">
        <v>113</v>
      </c>
      <c r="H72" s="84"/>
      <c r="I72" s="204">
        <v>26</v>
      </c>
      <c r="J72" s="202">
        <v>15</v>
      </c>
      <c r="K72" s="205">
        <v>0</v>
      </c>
      <c r="L72" s="206">
        <v>14</v>
      </c>
    </row>
    <row r="73" spans="1:12" x14ac:dyDescent="0.3">
      <c r="A73" s="90">
        <f t="shared" si="18"/>
        <v>43652</v>
      </c>
      <c r="B73" s="120">
        <v>8</v>
      </c>
      <c r="C73" s="121">
        <v>2</v>
      </c>
      <c r="D73" s="121">
        <v>1</v>
      </c>
      <c r="E73" s="121">
        <v>3</v>
      </c>
      <c r="F73" s="233">
        <f t="shared" si="17"/>
        <v>55</v>
      </c>
      <c r="G73" s="80">
        <v>112</v>
      </c>
      <c r="H73" s="84"/>
      <c r="I73" s="204">
        <v>26</v>
      </c>
      <c r="J73" s="202">
        <v>15</v>
      </c>
      <c r="K73" s="205">
        <v>0</v>
      </c>
      <c r="L73" s="206">
        <v>14</v>
      </c>
    </row>
    <row r="74" spans="1:12" x14ac:dyDescent="0.3">
      <c r="A74" s="90">
        <f t="shared" si="18"/>
        <v>43683</v>
      </c>
      <c r="B74" s="120">
        <v>8</v>
      </c>
      <c r="C74" s="121">
        <v>2</v>
      </c>
      <c r="D74" s="121">
        <v>1</v>
      </c>
      <c r="E74" s="121">
        <v>3</v>
      </c>
      <c r="F74" s="233">
        <f t="shared" si="17"/>
        <v>55</v>
      </c>
      <c r="G74" s="80">
        <v>109</v>
      </c>
      <c r="H74" s="84"/>
      <c r="I74" s="204">
        <v>26</v>
      </c>
      <c r="J74" s="202">
        <v>15</v>
      </c>
      <c r="K74" s="205">
        <v>0</v>
      </c>
      <c r="L74" s="206">
        <v>14</v>
      </c>
    </row>
    <row r="75" spans="1:12" x14ac:dyDescent="0.3">
      <c r="A75" s="90">
        <f t="shared" si="18"/>
        <v>43714</v>
      </c>
      <c r="B75" s="120">
        <v>9</v>
      </c>
      <c r="C75" s="121">
        <v>2</v>
      </c>
      <c r="D75" s="121">
        <v>1</v>
      </c>
      <c r="E75" s="121">
        <v>3</v>
      </c>
      <c r="F75" s="233">
        <f t="shared" si="17"/>
        <v>57</v>
      </c>
      <c r="G75" s="80">
        <v>112</v>
      </c>
      <c r="H75" s="84"/>
      <c r="I75" s="204">
        <v>27</v>
      </c>
      <c r="J75" s="202">
        <v>16</v>
      </c>
      <c r="K75" s="205">
        <v>0</v>
      </c>
      <c r="L75" s="206">
        <v>14</v>
      </c>
    </row>
    <row r="76" spans="1:12" x14ac:dyDescent="0.3">
      <c r="A76" s="90">
        <f t="shared" si="18"/>
        <v>43745</v>
      </c>
      <c r="B76" s="120">
        <v>9</v>
      </c>
      <c r="C76" s="121">
        <v>2</v>
      </c>
      <c r="D76" s="121">
        <v>1</v>
      </c>
      <c r="E76" s="121">
        <v>3</v>
      </c>
      <c r="F76" s="233">
        <f t="shared" si="17"/>
        <v>58</v>
      </c>
      <c r="G76" s="80">
        <v>107</v>
      </c>
      <c r="H76" s="84"/>
      <c r="I76" s="204">
        <v>29</v>
      </c>
      <c r="J76" s="202">
        <v>17</v>
      </c>
      <c r="K76" s="205">
        <v>0</v>
      </c>
      <c r="L76" s="206">
        <v>13</v>
      </c>
    </row>
    <row r="77" spans="1:12" x14ac:dyDescent="0.3">
      <c r="A77" s="90">
        <f t="shared" si="18"/>
        <v>43776</v>
      </c>
      <c r="B77" s="120">
        <v>9</v>
      </c>
      <c r="C77" s="121">
        <v>2</v>
      </c>
      <c r="D77" s="121">
        <v>1</v>
      </c>
      <c r="E77" s="121">
        <v>3</v>
      </c>
      <c r="F77" s="233">
        <f t="shared" si="17"/>
        <v>59</v>
      </c>
      <c r="G77" s="80">
        <v>107</v>
      </c>
      <c r="H77" s="84"/>
      <c r="I77" s="204">
        <v>29</v>
      </c>
      <c r="J77" s="202">
        <v>17</v>
      </c>
      <c r="K77" s="205">
        <v>0</v>
      </c>
      <c r="L77" s="206">
        <v>13</v>
      </c>
    </row>
    <row r="78" spans="1:12" ht="17.25" thickBot="1" x14ac:dyDescent="0.35">
      <c r="A78" s="90">
        <f t="shared" si="18"/>
        <v>43807</v>
      </c>
      <c r="B78" s="122">
        <v>9</v>
      </c>
      <c r="C78" s="124">
        <v>2</v>
      </c>
      <c r="D78" s="124">
        <v>1</v>
      </c>
      <c r="E78" s="124">
        <v>3</v>
      </c>
      <c r="F78" s="236">
        <f t="shared" si="17"/>
        <v>60</v>
      </c>
      <c r="G78" s="167">
        <v>109</v>
      </c>
      <c r="H78" s="84"/>
      <c r="I78" s="237">
        <v>30</v>
      </c>
      <c r="J78" s="129">
        <v>17</v>
      </c>
      <c r="K78" s="236">
        <v>0</v>
      </c>
      <c r="L78" s="129">
        <v>13</v>
      </c>
    </row>
    <row r="79" spans="1:12" x14ac:dyDescent="0.3">
      <c r="A79" s="83"/>
      <c r="I79" s="84"/>
      <c r="J79" s="84"/>
      <c r="K79" s="84"/>
      <c r="L79" s="84"/>
    </row>
    <row r="80" spans="1:12" x14ac:dyDescent="0.3">
      <c r="A80" s="83"/>
      <c r="I80" s="84"/>
      <c r="J80" s="84"/>
      <c r="K80" s="84"/>
      <c r="L80" s="84"/>
    </row>
    <row r="81" spans="1:19" ht="20.25" x14ac:dyDescent="0.3">
      <c r="A81" s="84"/>
      <c r="B81" s="165" t="s">
        <v>87</v>
      </c>
      <c r="I81" s="84"/>
      <c r="J81" s="84"/>
      <c r="K81" s="84"/>
      <c r="L81" s="84"/>
    </row>
    <row r="82" spans="1:19" ht="20.25" x14ac:dyDescent="0.3">
      <c r="A82" s="84"/>
      <c r="B82" s="165" t="s">
        <v>0</v>
      </c>
      <c r="I82" s="84"/>
      <c r="J82" s="84"/>
      <c r="K82" s="84"/>
      <c r="L82" s="84"/>
    </row>
    <row r="83" spans="1:19" x14ac:dyDescent="0.3">
      <c r="A83" s="84"/>
      <c r="B83" s="85" t="s">
        <v>90</v>
      </c>
      <c r="I83" s="84"/>
      <c r="J83" s="84"/>
      <c r="K83" s="84"/>
      <c r="L83" s="84"/>
    </row>
    <row r="84" spans="1:19" ht="17.25" thickBot="1" x14ac:dyDescent="0.35">
      <c r="A84" s="83"/>
      <c r="I84" s="84"/>
      <c r="J84" s="84"/>
      <c r="K84" s="84"/>
      <c r="L84" s="84"/>
    </row>
    <row r="85" spans="1:19" x14ac:dyDescent="0.3">
      <c r="A85" s="130" t="s">
        <v>51</v>
      </c>
      <c r="B85" s="131"/>
      <c r="C85" s="131"/>
      <c r="D85" s="131"/>
      <c r="E85" s="131"/>
      <c r="F85" s="132"/>
      <c r="G85" s="133"/>
      <c r="K85" s="84"/>
      <c r="L85" s="84"/>
    </row>
    <row r="86" spans="1:19" ht="36.75" customHeight="1" x14ac:dyDescent="0.3">
      <c r="A86" s="134">
        <v>2019</v>
      </c>
      <c r="B86" s="135" t="s">
        <v>52</v>
      </c>
      <c r="C86" s="135" t="s">
        <v>53</v>
      </c>
      <c r="D86" s="135" t="s">
        <v>64</v>
      </c>
      <c r="E86" s="135" t="s">
        <v>54</v>
      </c>
      <c r="F86" s="135" t="s">
        <v>55</v>
      </c>
      <c r="G86" s="136" t="s">
        <v>65</v>
      </c>
      <c r="H86" s="137"/>
      <c r="I86" s="137"/>
      <c r="J86" s="137"/>
      <c r="K86" s="84"/>
      <c r="L86" s="84"/>
      <c r="M86" s="121"/>
    </row>
    <row r="87" spans="1:19" x14ac:dyDescent="0.3">
      <c r="A87" s="138" t="s">
        <v>33</v>
      </c>
      <c r="B87" s="139">
        <v>757.42</v>
      </c>
      <c r="C87" s="139">
        <v>1590.63</v>
      </c>
      <c r="D87" s="139">
        <v>1590.63</v>
      </c>
      <c r="E87" s="139">
        <v>1439.09</v>
      </c>
      <c r="F87" s="139">
        <v>2272.2600000000002</v>
      </c>
      <c r="G87" s="140">
        <v>2272.2600000000002</v>
      </c>
      <c r="H87" s="137"/>
      <c r="I87" s="137"/>
      <c r="J87" s="137"/>
      <c r="K87" s="84"/>
      <c r="L87" s="84"/>
      <c r="M87" s="121"/>
    </row>
    <row r="88" spans="1:19" x14ac:dyDescent="0.3">
      <c r="A88" s="138" t="s">
        <v>34</v>
      </c>
      <c r="B88" s="139">
        <v>711.19</v>
      </c>
      <c r="C88" s="139">
        <v>1493.47</v>
      </c>
      <c r="D88" s="139">
        <v>1493.47</v>
      </c>
      <c r="E88" s="139">
        <v>1351.23</v>
      </c>
      <c r="F88" s="139">
        <v>2133.5300000000002</v>
      </c>
      <c r="G88" s="140">
        <v>2133.5300000000002</v>
      </c>
      <c r="H88" s="137"/>
      <c r="I88" s="137"/>
      <c r="J88" s="137"/>
      <c r="K88" s="84"/>
      <c r="L88" s="84"/>
      <c r="M88" s="121"/>
    </row>
    <row r="89" spans="1:19" x14ac:dyDescent="0.3">
      <c r="A89" s="138" t="s">
        <v>35</v>
      </c>
      <c r="B89" s="139">
        <v>644.51</v>
      </c>
      <c r="C89" s="139">
        <v>1353.52</v>
      </c>
      <c r="D89" s="139">
        <v>1353.52</v>
      </c>
      <c r="E89" s="139">
        <v>1224.6300000000001</v>
      </c>
      <c r="F89" s="139">
        <v>1933.61</v>
      </c>
      <c r="G89" s="140">
        <v>1933.61</v>
      </c>
      <c r="H89" s="137"/>
      <c r="I89" s="137"/>
      <c r="J89" s="137"/>
      <c r="K89" s="84"/>
      <c r="L89" s="84"/>
      <c r="M89" s="121"/>
    </row>
    <row r="90" spans="1:19" s="142" customFormat="1" x14ac:dyDescent="0.3">
      <c r="A90" s="134" t="s">
        <v>92</v>
      </c>
      <c r="B90" s="113"/>
      <c r="C90" s="113"/>
      <c r="D90" s="113"/>
      <c r="E90" s="113"/>
      <c r="F90" s="113"/>
      <c r="G90" s="111"/>
      <c r="H90" s="141"/>
      <c r="I90" s="141"/>
      <c r="J90" s="141"/>
      <c r="K90" s="83"/>
      <c r="L90" s="83"/>
      <c r="M90" s="121"/>
      <c r="R90" s="83"/>
      <c r="S90" s="83"/>
    </row>
    <row r="91" spans="1:19" x14ac:dyDescent="0.3">
      <c r="A91" s="138" t="s">
        <v>33</v>
      </c>
      <c r="B91" s="113">
        <v>114.44</v>
      </c>
      <c r="C91" s="113">
        <v>479.08</v>
      </c>
      <c r="D91" s="113">
        <v>963.36</v>
      </c>
      <c r="E91" s="113">
        <v>429.17</v>
      </c>
      <c r="F91" s="113">
        <v>662.01</v>
      </c>
      <c r="G91" s="111">
        <v>1284.3599999999999</v>
      </c>
      <c r="H91" s="137"/>
      <c r="I91" s="137"/>
      <c r="J91" s="143"/>
      <c r="M91" s="121"/>
    </row>
    <row r="92" spans="1:19" x14ac:dyDescent="0.3">
      <c r="A92" s="138" t="s">
        <v>34</v>
      </c>
      <c r="B92" s="113">
        <v>61.98</v>
      </c>
      <c r="C92" s="113">
        <v>377.85</v>
      </c>
      <c r="D92" s="113">
        <v>892.01</v>
      </c>
      <c r="E92" s="113">
        <v>348.14</v>
      </c>
      <c r="F92" s="113">
        <v>467.26</v>
      </c>
      <c r="G92" s="111">
        <v>1127.98</v>
      </c>
      <c r="H92" s="137"/>
      <c r="I92" s="137"/>
      <c r="J92" s="144"/>
      <c r="K92" s="137"/>
      <c r="L92" s="121"/>
      <c r="M92" s="121"/>
    </row>
    <row r="93" spans="1:19" x14ac:dyDescent="0.3">
      <c r="A93" s="138" t="s">
        <v>35</v>
      </c>
      <c r="B93" s="113">
        <v>20.27</v>
      </c>
      <c r="C93" s="113">
        <v>277.08999999999997</v>
      </c>
      <c r="D93" s="113">
        <v>752.91</v>
      </c>
      <c r="E93" s="113">
        <v>265.23</v>
      </c>
      <c r="F93" s="113">
        <v>373.88</v>
      </c>
      <c r="G93" s="111">
        <v>985.33</v>
      </c>
      <c r="H93" s="137"/>
      <c r="I93" s="137"/>
      <c r="J93" s="144"/>
      <c r="K93" s="137"/>
      <c r="L93" s="121"/>
      <c r="M93" s="121"/>
    </row>
    <row r="94" spans="1:19" s="142" customFormat="1" x14ac:dyDescent="0.3">
      <c r="A94" s="134" t="s">
        <v>93</v>
      </c>
      <c r="B94" s="113"/>
      <c r="C94" s="113"/>
      <c r="D94" s="113"/>
      <c r="E94" s="113"/>
      <c r="F94" s="113"/>
      <c r="G94" s="111"/>
      <c r="H94" s="141"/>
      <c r="I94" s="141"/>
      <c r="J94" s="145"/>
      <c r="K94" s="137"/>
      <c r="L94" s="121"/>
      <c r="M94" s="121"/>
      <c r="R94" s="83"/>
      <c r="S94" s="83"/>
    </row>
    <row r="95" spans="1:19" x14ac:dyDescent="0.3">
      <c r="A95" s="138" t="s">
        <v>33</v>
      </c>
      <c r="B95" s="113">
        <f t="shared" ref="B95:G95" si="19">B87-B91</f>
        <v>642.98</v>
      </c>
      <c r="C95" s="113">
        <f t="shared" si="19"/>
        <v>1111.5500000000002</v>
      </c>
      <c r="D95" s="113">
        <f t="shared" si="19"/>
        <v>627.2700000000001</v>
      </c>
      <c r="E95" s="113">
        <f t="shared" si="19"/>
        <v>1009.9199999999998</v>
      </c>
      <c r="F95" s="113">
        <f t="shared" si="19"/>
        <v>1610.2500000000002</v>
      </c>
      <c r="G95" s="111">
        <f t="shared" si="19"/>
        <v>987.90000000000032</v>
      </c>
      <c r="H95" s="137"/>
      <c r="I95" s="137"/>
      <c r="J95" s="144"/>
      <c r="K95" s="137"/>
      <c r="L95" s="121"/>
      <c r="M95" s="121"/>
    </row>
    <row r="96" spans="1:19" x14ac:dyDescent="0.3">
      <c r="A96" s="138" t="s">
        <v>34</v>
      </c>
      <c r="B96" s="113">
        <f t="shared" ref="B96:G97" si="20">B88-B92</f>
        <v>649.21</v>
      </c>
      <c r="C96" s="113">
        <f t="shared" si="20"/>
        <v>1115.6199999999999</v>
      </c>
      <c r="D96" s="113">
        <f t="shared" si="20"/>
        <v>601.46</v>
      </c>
      <c r="E96" s="113">
        <f t="shared" si="20"/>
        <v>1003.09</v>
      </c>
      <c r="F96" s="113">
        <f t="shared" si="20"/>
        <v>1666.2700000000002</v>
      </c>
      <c r="G96" s="111">
        <f t="shared" si="20"/>
        <v>1005.5500000000002</v>
      </c>
      <c r="H96" s="137"/>
      <c r="I96" s="137"/>
      <c r="J96" s="144"/>
      <c r="K96" s="141"/>
      <c r="L96" s="141"/>
      <c r="M96" s="121"/>
    </row>
    <row r="97" spans="1:19" x14ac:dyDescent="0.3">
      <c r="A97" s="138" t="s">
        <v>35</v>
      </c>
      <c r="B97" s="113">
        <f t="shared" si="20"/>
        <v>624.24</v>
      </c>
      <c r="C97" s="113">
        <f t="shared" si="20"/>
        <v>1076.43</v>
      </c>
      <c r="D97" s="113">
        <f t="shared" si="20"/>
        <v>600.61</v>
      </c>
      <c r="E97" s="113">
        <f t="shared" si="20"/>
        <v>959.40000000000009</v>
      </c>
      <c r="F97" s="113">
        <f t="shared" si="20"/>
        <v>1559.73</v>
      </c>
      <c r="G97" s="111">
        <f t="shared" si="20"/>
        <v>948.27999999999986</v>
      </c>
      <c r="H97" s="137"/>
      <c r="I97" s="137"/>
      <c r="J97" s="144"/>
      <c r="K97" s="137"/>
      <c r="L97" s="137"/>
      <c r="M97" s="121"/>
    </row>
    <row r="98" spans="1:19" s="142" customFormat="1" ht="17.25" thickBot="1" x14ac:dyDescent="0.35">
      <c r="A98" s="166"/>
      <c r="B98" s="147"/>
      <c r="C98" s="147"/>
      <c r="D98" s="147"/>
      <c r="E98" s="147"/>
      <c r="F98" s="124"/>
      <c r="G98" s="167"/>
      <c r="H98" s="144"/>
      <c r="I98" s="137"/>
      <c r="J98" s="137"/>
      <c r="K98" s="137"/>
      <c r="L98" s="137"/>
      <c r="M98" s="141"/>
      <c r="R98" s="83"/>
      <c r="S98" s="83"/>
    </row>
    <row r="99" spans="1:19" ht="13.5" customHeight="1" thickBot="1" x14ac:dyDescent="0.35">
      <c r="A99" s="150"/>
      <c r="B99" s="135"/>
      <c r="C99" s="135"/>
      <c r="D99" s="135"/>
      <c r="E99" s="135"/>
      <c r="H99" s="106"/>
      <c r="I99" s="121"/>
      <c r="J99" s="121"/>
      <c r="K99" s="137"/>
      <c r="L99" s="137"/>
      <c r="M99" s="137"/>
    </row>
    <row r="100" spans="1:19" x14ac:dyDescent="0.3">
      <c r="A100" s="194" t="s">
        <v>107</v>
      </c>
      <c r="B100" s="132"/>
      <c r="C100" s="132"/>
      <c r="D100" s="132"/>
      <c r="E100" s="132"/>
      <c r="F100" s="195"/>
      <c r="G100" s="196"/>
      <c r="H100" s="105"/>
      <c r="I100" s="121"/>
      <c r="J100" s="121"/>
      <c r="K100" s="141"/>
      <c r="L100" s="141"/>
      <c r="M100" s="137"/>
    </row>
    <row r="101" spans="1:19" s="142" customFormat="1" x14ac:dyDescent="0.3">
      <c r="A101" s="197"/>
      <c r="B101" s="113"/>
      <c r="C101" s="113"/>
      <c r="D101" s="113"/>
      <c r="E101" s="113"/>
      <c r="F101" s="121"/>
      <c r="G101" s="80"/>
      <c r="H101" s="105"/>
      <c r="I101" s="121"/>
      <c r="J101" s="121"/>
      <c r="K101" s="137"/>
      <c r="L101" s="137"/>
      <c r="M101" s="141"/>
      <c r="R101" s="83"/>
      <c r="S101" s="83"/>
    </row>
    <row r="102" spans="1:19" x14ac:dyDescent="0.3">
      <c r="A102" s="134">
        <v>2019</v>
      </c>
      <c r="B102" s="135" t="s">
        <v>52</v>
      </c>
      <c r="C102" s="135" t="s">
        <v>53</v>
      </c>
      <c r="D102" s="135" t="s">
        <v>108</v>
      </c>
      <c r="E102" s="135" t="s">
        <v>55</v>
      </c>
      <c r="F102" s="121"/>
      <c r="G102" s="80"/>
      <c r="H102" s="105"/>
      <c r="I102" s="121"/>
      <c r="J102" s="121"/>
      <c r="K102" s="137"/>
      <c r="L102" s="137"/>
      <c r="M102" s="137"/>
    </row>
    <row r="103" spans="1:19" s="142" customFormat="1" x14ac:dyDescent="0.3">
      <c r="A103" s="198" t="s">
        <v>100</v>
      </c>
      <c r="B103" s="113">
        <v>36.590000000000003</v>
      </c>
      <c r="C103" s="113">
        <v>66.98</v>
      </c>
      <c r="D103" s="113">
        <v>66.98</v>
      </c>
      <c r="E103" s="113">
        <v>119.02</v>
      </c>
      <c r="F103" s="121"/>
      <c r="G103" s="80"/>
      <c r="H103" s="153"/>
      <c r="I103" s="141"/>
      <c r="J103" s="141"/>
      <c r="K103" s="137"/>
      <c r="L103" s="137"/>
      <c r="M103" s="141"/>
      <c r="R103" s="83"/>
      <c r="S103" s="83"/>
    </row>
    <row r="104" spans="1:19" x14ac:dyDescent="0.3">
      <c r="A104" s="199" t="s">
        <v>109</v>
      </c>
      <c r="B104" s="113">
        <v>10.98</v>
      </c>
      <c r="C104" s="113">
        <v>20.09</v>
      </c>
      <c r="D104" s="113">
        <v>20.09</v>
      </c>
      <c r="E104" s="113">
        <v>35.01</v>
      </c>
      <c r="F104" s="121"/>
      <c r="G104" s="80"/>
      <c r="H104" s="145"/>
      <c r="I104" s="121"/>
      <c r="J104" s="121"/>
      <c r="K104" s="113"/>
      <c r="L104" s="121"/>
      <c r="M104" s="137"/>
    </row>
    <row r="105" spans="1:19" x14ac:dyDescent="0.3">
      <c r="A105" s="193" t="s">
        <v>110</v>
      </c>
      <c r="B105" s="139">
        <v>25.61</v>
      </c>
      <c r="C105" s="139">
        <v>46.89</v>
      </c>
      <c r="D105" s="139">
        <v>46.89</v>
      </c>
      <c r="E105" s="139">
        <v>81.680000000000007</v>
      </c>
      <c r="F105" s="121"/>
      <c r="G105" s="80"/>
      <c r="H105" s="145"/>
      <c r="I105" s="121"/>
      <c r="J105" s="121"/>
      <c r="K105" s="154"/>
      <c r="L105" s="121"/>
      <c r="M105" s="137"/>
    </row>
    <row r="106" spans="1:19" ht="17.25" thickBot="1" x14ac:dyDescent="0.35">
      <c r="A106" s="200"/>
      <c r="B106" s="201"/>
      <c r="C106" s="201"/>
      <c r="D106" s="201"/>
      <c r="E106" s="201"/>
      <c r="F106" s="124"/>
      <c r="G106" s="167"/>
      <c r="H106" s="106"/>
      <c r="I106" s="121"/>
      <c r="J106" s="121"/>
      <c r="K106" s="113"/>
      <c r="L106" s="121"/>
      <c r="M106" s="137"/>
    </row>
    <row r="107" spans="1:19" x14ac:dyDescent="0.3">
      <c r="A107" s="157"/>
      <c r="B107" s="113"/>
      <c r="C107" s="113"/>
      <c r="D107" s="113"/>
      <c r="E107" s="113"/>
      <c r="H107" s="145"/>
      <c r="I107" s="121"/>
      <c r="J107" s="121"/>
      <c r="K107" s="113"/>
      <c r="L107" s="121"/>
      <c r="M107" s="137"/>
    </row>
    <row r="108" spans="1:19" x14ac:dyDescent="0.3">
      <c r="A108" s="157"/>
      <c r="B108" s="113"/>
      <c r="C108" s="113"/>
      <c r="D108" s="113"/>
      <c r="E108" s="113"/>
      <c r="H108" s="145"/>
      <c r="I108" s="121"/>
      <c r="J108" s="121"/>
      <c r="K108" s="113"/>
      <c r="L108" s="121"/>
      <c r="M108" s="137"/>
    </row>
    <row r="109" spans="1:19" x14ac:dyDescent="0.3">
      <c r="A109" s="157"/>
      <c r="B109" s="113"/>
      <c r="C109" s="113"/>
      <c r="D109" s="113"/>
      <c r="E109" s="113"/>
      <c r="H109" s="144"/>
      <c r="I109" s="121"/>
      <c r="J109" s="121"/>
      <c r="K109" s="141"/>
      <c r="L109" s="121"/>
      <c r="M109" s="137"/>
    </row>
    <row r="110" spans="1:19" x14ac:dyDescent="0.3">
      <c r="A110" s="157"/>
      <c r="B110" s="113"/>
      <c r="C110" s="113"/>
      <c r="D110" s="113"/>
      <c r="E110" s="113"/>
      <c r="H110" s="144"/>
      <c r="I110" s="121"/>
      <c r="J110" s="121"/>
      <c r="K110" s="121"/>
      <c r="L110" s="121"/>
      <c r="M110" s="137"/>
    </row>
    <row r="111" spans="1:19" x14ac:dyDescent="0.3">
      <c r="A111" s="157"/>
      <c r="B111" s="113"/>
      <c r="C111" s="113"/>
      <c r="D111" s="113"/>
      <c r="E111" s="113"/>
      <c r="H111" s="144"/>
      <c r="I111" s="121"/>
      <c r="J111" s="121"/>
      <c r="K111" s="113"/>
      <c r="L111" s="121"/>
      <c r="M111" s="137"/>
    </row>
    <row r="112" spans="1:19" ht="14.25" customHeight="1" x14ac:dyDescent="0.3">
      <c r="A112" s="157"/>
      <c r="B112" s="113"/>
      <c r="C112" s="113"/>
      <c r="D112" s="113"/>
      <c r="E112" s="113"/>
      <c r="H112" s="144"/>
      <c r="I112" s="121"/>
      <c r="J112" s="121"/>
      <c r="K112" s="121"/>
      <c r="L112" s="121"/>
      <c r="M112" s="137"/>
    </row>
    <row r="113" spans="1:13" x14ac:dyDescent="0.3">
      <c r="A113" s="157"/>
      <c r="B113" s="113"/>
      <c r="C113" s="113"/>
      <c r="D113" s="113"/>
      <c r="E113" s="113"/>
      <c r="H113" s="144"/>
      <c r="I113" s="121"/>
      <c r="J113" s="121"/>
      <c r="K113" s="113"/>
      <c r="L113" s="121"/>
      <c r="M113" s="137"/>
    </row>
    <row r="114" spans="1:13" ht="9" customHeight="1" x14ac:dyDescent="0.3">
      <c r="A114" s="157"/>
      <c r="B114" s="113"/>
      <c r="C114" s="113"/>
      <c r="D114" s="113"/>
      <c r="E114" s="113"/>
      <c r="H114" s="144"/>
      <c r="I114" s="121"/>
      <c r="J114" s="121"/>
      <c r="K114" s="113"/>
      <c r="L114" s="121"/>
      <c r="M114" s="137"/>
    </row>
    <row r="115" spans="1:13" x14ac:dyDescent="0.3">
      <c r="A115" s="157"/>
      <c r="B115" s="113"/>
      <c r="C115" s="113"/>
      <c r="D115" s="113"/>
      <c r="E115" s="113"/>
      <c r="H115" s="158"/>
      <c r="K115" s="113"/>
      <c r="L115" s="121"/>
    </row>
    <row r="116" spans="1:13" x14ac:dyDescent="0.3">
      <c r="A116" s="157"/>
      <c r="B116" s="113"/>
      <c r="C116" s="113"/>
      <c r="D116" s="113"/>
      <c r="E116" s="113"/>
      <c r="H116" s="158"/>
      <c r="K116" s="159"/>
      <c r="L116" s="121"/>
    </row>
    <row r="117" spans="1:13" x14ac:dyDescent="0.3">
      <c r="A117" s="157"/>
      <c r="B117" s="113"/>
      <c r="C117" s="113"/>
      <c r="D117" s="113"/>
      <c r="E117" s="113"/>
      <c r="K117" s="159"/>
      <c r="L117" s="121"/>
    </row>
    <row r="118" spans="1:13" ht="15" customHeight="1" x14ac:dyDescent="0.3">
      <c r="A118" s="151"/>
      <c r="B118" s="121"/>
      <c r="C118" s="121"/>
      <c r="D118" s="121"/>
      <c r="E118" s="121"/>
      <c r="F118" s="438"/>
      <c r="G118" s="438"/>
      <c r="H118" s="160"/>
      <c r="I118" s="160"/>
      <c r="J118" s="160"/>
      <c r="K118" s="159"/>
      <c r="L118" s="121"/>
    </row>
    <row r="119" spans="1:13" x14ac:dyDescent="0.3">
      <c r="F119" s="156"/>
      <c r="G119" s="161"/>
      <c r="H119" s="156"/>
      <c r="I119" s="156"/>
      <c r="J119" s="156"/>
      <c r="K119" s="159"/>
      <c r="L119" s="121"/>
    </row>
    <row r="120" spans="1:13" x14ac:dyDescent="0.3">
      <c r="F120" s="113"/>
      <c r="G120" s="139"/>
      <c r="H120" s="139"/>
      <c r="I120" s="139"/>
      <c r="J120" s="139"/>
      <c r="K120" s="159"/>
      <c r="L120" s="121"/>
    </row>
    <row r="121" spans="1:13" x14ac:dyDescent="0.3">
      <c r="F121" s="113"/>
      <c r="G121" s="139"/>
      <c r="H121" s="139"/>
      <c r="I121" s="139"/>
      <c r="J121" s="139"/>
    </row>
    <row r="122" spans="1:13" x14ac:dyDescent="0.3">
      <c r="F122" s="113"/>
      <c r="G122" s="139"/>
      <c r="H122" s="139"/>
      <c r="I122" s="139"/>
      <c r="J122" s="139"/>
    </row>
    <row r="123" spans="1:13" x14ac:dyDescent="0.3">
      <c r="F123" s="113"/>
      <c r="G123" s="139"/>
      <c r="H123" s="139"/>
      <c r="I123" s="139"/>
      <c r="J123" s="139"/>
    </row>
    <row r="124" spans="1:13" x14ac:dyDescent="0.3">
      <c r="F124" s="113"/>
      <c r="G124" s="139"/>
      <c r="H124" s="139"/>
      <c r="I124" s="139"/>
      <c r="J124" s="139"/>
      <c r="K124" s="160"/>
      <c r="L124" s="160"/>
    </row>
    <row r="125" spans="1:13" x14ac:dyDescent="0.3">
      <c r="F125" s="113"/>
      <c r="G125" s="139"/>
      <c r="H125" s="139"/>
      <c r="I125" s="139"/>
      <c r="J125" s="139"/>
      <c r="K125" s="156"/>
      <c r="L125" s="156"/>
    </row>
    <row r="126" spans="1:13" x14ac:dyDescent="0.3">
      <c r="F126" s="113"/>
      <c r="G126" s="139"/>
      <c r="H126" s="139"/>
      <c r="I126" s="139"/>
      <c r="J126" s="139"/>
      <c r="K126" s="139"/>
      <c r="L126" s="139"/>
    </row>
    <row r="127" spans="1:13" x14ac:dyDescent="0.3">
      <c r="F127" s="113"/>
      <c r="G127" s="139"/>
      <c r="H127" s="139"/>
      <c r="I127" s="139"/>
      <c r="J127" s="139"/>
      <c r="K127" s="139"/>
      <c r="L127" s="139"/>
    </row>
    <row r="128" spans="1:13" x14ac:dyDescent="0.3">
      <c r="F128" s="113"/>
      <c r="G128" s="139"/>
      <c r="H128" s="139"/>
      <c r="I128" s="139"/>
      <c r="J128" s="139"/>
      <c r="K128" s="139"/>
      <c r="L128" s="139"/>
    </row>
    <row r="129" spans="2:12" x14ac:dyDescent="0.3">
      <c r="F129" s="113"/>
      <c r="G129" s="139"/>
      <c r="H129" s="139"/>
      <c r="I129" s="139"/>
      <c r="J129" s="139"/>
      <c r="K129" s="139"/>
      <c r="L129" s="139"/>
    </row>
    <row r="130" spans="2:12" x14ac:dyDescent="0.3">
      <c r="F130" s="113"/>
      <c r="G130" s="139"/>
      <c r="H130" s="139"/>
      <c r="I130" s="139"/>
      <c r="J130" s="139"/>
      <c r="K130" s="139"/>
      <c r="L130" s="139"/>
    </row>
    <row r="131" spans="2:12" x14ac:dyDescent="0.3">
      <c r="K131" s="139"/>
      <c r="L131" s="139"/>
    </row>
    <row r="132" spans="2:12" x14ac:dyDescent="0.3">
      <c r="B132" s="150"/>
      <c r="C132" s="162"/>
      <c r="D132" s="162"/>
      <c r="E132" s="162"/>
      <c r="K132" s="139"/>
      <c r="L132" s="139"/>
    </row>
    <row r="133" spans="2:12" x14ac:dyDescent="0.3">
      <c r="B133" s="151"/>
      <c r="C133" s="162"/>
      <c r="D133" s="114"/>
      <c r="E133" s="162"/>
      <c r="K133" s="139"/>
      <c r="L133" s="139"/>
    </row>
    <row r="134" spans="2:12" x14ac:dyDescent="0.3">
      <c r="B134" s="151"/>
      <c r="C134" s="162"/>
      <c r="D134" s="114"/>
      <c r="E134" s="162"/>
      <c r="K134" s="139"/>
      <c r="L134" s="139"/>
    </row>
    <row r="135" spans="2:12" x14ac:dyDescent="0.3">
      <c r="B135" s="151"/>
      <c r="C135" s="162"/>
      <c r="D135" s="114"/>
      <c r="E135" s="162"/>
      <c r="K135" s="139"/>
      <c r="L135" s="139"/>
    </row>
    <row r="136" spans="2:12" x14ac:dyDescent="0.3">
      <c r="B136" s="149"/>
      <c r="C136" s="162"/>
      <c r="D136" s="114"/>
      <c r="E136" s="162"/>
      <c r="K136" s="139"/>
      <c r="L136" s="139"/>
    </row>
    <row r="137" spans="2:12" x14ac:dyDescent="0.3">
      <c r="B137" s="151"/>
      <c r="C137" s="162"/>
      <c r="D137" s="163"/>
      <c r="E137" s="162"/>
    </row>
    <row r="138" spans="2:12" x14ac:dyDescent="0.3">
      <c r="B138" s="151"/>
      <c r="C138" s="162"/>
      <c r="D138" s="163"/>
      <c r="E138" s="162"/>
    </row>
    <row r="139" spans="2:12" x14ac:dyDescent="0.3">
      <c r="B139" s="151"/>
      <c r="C139" s="162"/>
      <c r="D139" s="163"/>
      <c r="E139" s="162"/>
    </row>
    <row r="140" spans="2:12" x14ac:dyDescent="0.3">
      <c r="B140" s="149"/>
      <c r="C140" s="162"/>
      <c r="D140" s="163"/>
      <c r="E140" s="162"/>
    </row>
    <row r="141" spans="2:12" x14ac:dyDescent="0.3">
      <c r="B141" s="151"/>
      <c r="C141" s="162"/>
      <c r="D141" s="163"/>
      <c r="E141" s="162"/>
    </row>
    <row r="142" spans="2:12" x14ac:dyDescent="0.3">
      <c r="B142" s="151"/>
      <c r="C142" s="113"/>
      <c r="D142" s="114"/>
      <c r="E142" s="113"/>
    </row>
    <row r="143" spans="2:12" x14ac:dyDescent="0.3">
      <c r="B143" s="151"/>
      <c r="C143" s="113"/>
      <c r="D143" s="114"/>
      <c r="E143" s="113"/>
    </row>
    <row r="145" spans="6:15" x14ac:dyDescent="0.3">
      <c r="F145" s="162"/>
      <c r="G145" s="162"/>
      <c r="H145" s="156"/>
      <c r="I145" s="156"/>
      <c r="M145" s="83"/>
      <c r="N145" s="83"/>
      <c r="O145" s="83"/>
    </row>
    <row r="146" spans="6:15" x14ac:dyDescent="0.3">
      <c r="F146" s="162"/>
      <c r="G146" s="162"/>
      <c r="H146" s="113"/>
      <c r="I146" s="113"/>
      <c r="M146" s="83"/>
      <c r="N146" s="83"/>
      <c r="O146" s="83"/>
    </row>
    <row r="147" spans="6:15" x14ac:dyDescent="0.3">
      <c r="F147" s="162"/>
      <c r="G147" s="162"/>
      <c r="H147" s="113"/>
      <c r="I147" s="113"/>
      <c r="M147" s="83"/>
      <c r="N147" s="83"/>
      <c r="O147" s="83"/>
    </row>
    <row r="148" spans="6:15" x14ac:dyDescent="0.3">
      <c r="F148" s="162"/>
      <c r="G148" s="162"/>
      <c r="H148" s="113"/>
      <c r="I148" s="113"/>
      <c r="M148" s="83"/>
      <c r="N148" s="83"/>
      <c r="O148" s="83"/>
    </row>
    <row r="149" spans="6:15" x14ac:dyDescent="0.3">
      <c r="F149" s="162"/>
      <c r="G149" s="162"/>
      <c r="H149" s="113"/>
      <c r="I149" s="113"/>
      <c r="M149" s="83"/>
      <c r="N149" s="83"/>
      <c r="O149" s="83"/>
    </row>
    <row r="150" spans="6:15" x14ac:dyDescent="0.3">
      <c r="F150" s="163"/>
      <c r="G150" s="162"/>
      <c r="H150" s="114"/>
      <c r="I150" s="113"/>
      <c r="J150" s="114"/>
      <c r="M150" s="83"/>
      <c r="N150" s="83"/>
      <c r="O150" s="83"/>
    </row>
    <row r="151" spans="6:15" x14ac:dyDescent="0.3">
      <c r="F151" s="163"/>
      <c r="G151" s="162"/>
      <c r="H151" s="114"/>
      <c r="I151" s="113"/>
      <c r="J151" s="114"/>
      <c r="M151" s="83"/>
      <c r="N151" s="83"/>
      <c r="O151" s="83"/>
    </row>
    <row r="152" spans="6:15" x14ac:dyDescent="0.3">
      <c r="F152" s="163"/>
      <c r="G152" s="162"/>
      <c r="H152" s="114"/>
      <c r="I152" s="113"/>
      <c r="J152" s="114"/>
      <c r="M152" s="83"/>
      <c r="N152" s="83"/>
      <c r="O152" s="83"/>
    </row>
    <row r="153" spans="6:15" x14ac:dyDescent="0.3">
      <c r="F153" s="163"/>
      <c r="G153" s="162"/>
      <c r="H153" s="114"/>
      <c r="I153" s="113"/>
      <c r="J153" s="114"/>
      <c r="M153" s="83"/>
      <c r="N153" s="83"/>
      <c r="O153" s="83"/>
    </row>
    <row r="154" spans="6:15" x14ac:dyDescent="0.3">
      <c r="F154" s="163"/>
      <c r="G154" s="162"/>
      <c r="H154" s="114"/>
      <c r="I154" s="113"/>
      <c r="J154" s="114"/>
      <c r="M154" s="83"/>
      <c r="N154" s="83"/>
      <c r="O154" s="83"/>
    </row>
    <row r="155" spans="6:15" x14ac:dyDescent="0.3">
      <c r="F155" s="114"/>
      <c r="G155" s="113"/>
      <c r="H155" s="114"/>
      <c r="I155" s="113"/>
      <c r="J155" s="114"/>
      <c r="M155" s="83"/>
      <c r="N155" s="83"/>
      <c r="O155" s="83"/>
    </row>
    <row r="156" spans="6:15" x14ac:dyDescent="0.3">
      <c r="F156" s="114"/>
      <c r="G156" s="113"/>
      <c r="H156" s="114"/>
      <c r="I156" s="113"/>
      <c r="J156" s="114"/>
      <c r="M156" s="83"/>
      <c r="N156" s="83"/>
      <c r="O156" s="83"/>
    </row>
    <row r="157" spans="6:15" x14ac:dyDescent="0.3">
      <c r="F157" s="164"/>
    </row>
  </sheetData>
  <mergeCells count="3">
    <mergeCell ref="B7:F7"/>
    <mergeCell ref="G7:L7"/>
    <mergeCell ref="F118:G118"/>
  </mergeCells>
  <pageMargins left="0.25" right="0.25" top="0.75" bottom="0.75" header="0.3" footer="0.3"/>
  <pageSetup scale="61" orientation="landscape" r:id="rId1"/>
  <rowBreaks count="2" manualBreakCount="2">
    <brk id="42" max="16383" man="1"/>
    <brk id="78" max="1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157"/>
  <sheetViews>
    <sheetView zoomScale="80" zoomScaleNormal="80" workbookViewId="0">
      <selection activeCell="J20" sqref="J20"/>
    </sheetView>
  </sheetViews>
  <sheetFormatPr defaultRowHeight="16.5" x14ac:dyDescent="0.3"/>
  <cols>
    <col min="1" max="1" width="18.5703125" style="81" customWidth="1"/>
    <col min="2" max="12" width="15.7109375" style="83" customWidth="1"/>
    <col min="13" max="13" width="15.7109375" style="84" customWidth="1"/>
    <col min="14" max="14" width="11" style="84" customWidth="1"/>
    <col min="15" max="15" width="18" style="84" bestFit="1" customWidth="1"/>
    <col min="16" max="16" width="11.7109375" style="84" bestFit="1" customWidth="1"/>
    <col min="17" max="16384" width="9.140625" style="84"/>
  </cols>
  <sheetData>
    <row r="2" spans="1:16" ht="20.25" x14ac:dyDescent="0.3">
      <c r="B2" s="82" t="s">
        <v>87</v>
      </c>
      <c r="J2" s="83" t="s">
        <v>37</v>
      </c>
    </row>
    <row r="3" spans="1:16" ht="20.25" x14ac:dyDescent="0.3">
      <c r="B3" s="82" t="s">
        <v>0</v>
      </c>
    </row>
    <row r="4" spans="1:16" x14ac:dyDescent="0.3">
      <c r="B4" s="85" t="s">
        <v>83</v>
      </c>
    </row>
    <row r="7" spans="1:16" ht="14.25" customHeight="1" x14ac:dyDescent="0.3">
      <c r="B7" s="437" t="s">
        <v>78</v>
      </c>
      <c r="C7" s="437"/>
      <c r="D7" s="437"/>
      <c r="E7" s="437"/>
      <c r="F7" s="437"/>
      <c r="G7" s="437" t="s">
        <v>79</v>
      </c>
      <c r="H7" s="437"/>
      <c r="I7" s="437"/>
      <c r="J7" s="437"/>
      <c r="K7" s="437"/>
      <c r="L7" s="437"/>
    </row>
    <row r="8" spans="1:16" ht="17.25" thickBot="1" x14ac:dyDescent="0.35">
      <c r="B8" s="86"/>
      <c r="C8" s="86"/>
      <c r="D8" s="86"/>
      <c r="E8" s="86"/>
      <c r="F8" s="86"/>
      <c r="G8" s="87" t="s">
        <v>68</v>
      </c>
      <c r="H8" s="87" t="s">
        <v>69</v>
      </c>
      <c r="I8" s="87" t="s">
        <v>70</v>
      </c>
      <c r="J8" s="87" t="s">
        <v>71</v>
      </c>
      <c r="K8" s="86"/>
    </row>
    <row r="9" spans="1:16" ht="50.25" thickBot="1" x14ac:dyDescent="0.35">
      <c r="B9" s="75" t="s">
        <v>56</v>
      </c>
      <c r="C9" s="76" t="s">
        <v>57</v>
      </c>
      <c r="D9" s="75" t="s">
        <v>58</v>
      </c>
      <c r="E9" s="75" t="s">
        <v>59</v>
      </c>
      <c r="F9" s="76" t="s">
        <v>60</v>
      </c>
      <c r="G9" s="75" t="s">
        <v>61</v>
      </c>
      <c r="H9" s="75" t="s">
        <v>62</v>
      </c>
      <c r="I9" s="88" t="s">
        <v>66</v>
      </c>
      <c r="J9" s="75" t="s">
        <v>67</v>
      </c>
      <c r="K9" s="89" t="s">
        <v>73</v>
      </c>
      <c r="L9" s="75" t="s">
        <v>81</v>
      </c>
      <c r="M9" s="126" t="s">
        <v>113</v>
      </c>
      <c r="N9" s="126" t="s">
        <v>114</v>
      </c>
      <c r="O9" s="126" t="s">
        <v>115</v>
      </c>
    </row>
    <row r="10" spans="1:16" x14ac:dyDescent="0.3">
      <c r="A10" s="90">
        <v>43101</v>
      </c>
      <c r="B10" s="91">
        <v>1981.82</v>
      </c>
      <c r="C10" s="92">
        <v>2551.87</v>
      </c>
      <c r="D10" s="91">
        <v>732.93</v>
      </c>
      <c r="E10" s="91">
        <f>0.37+266.92</f>
        <v>267.29000000000002</v>
      </c>
      <c r="F10" s="92">
        <v>250.82</v>
      </c>
      <c r="G10" s="91">
        <f t="shared" ref="G10:G21" si="0">B10+C10+D10+E10+F10</f>
        <v>5784.73</v>
      </c>
      <c r="H10" s="93">
        <v>0</v>
      </c>
      <c r="I10" s="94">
        <v>23847.84</v>
      </c>
      <c r="J10" s="93">
        <v>20363.95</v>
      </c>
      <c r="K10" s="95">
        <f t="shared" ref="K10:K21" si="1">I10+J10</f>
        <v>44211.79</v>
      </c>
      <c r="L10" s="91">
        <f>I10-G10+H10</f>
        <v>18063.11</v>
      </c>
      <c r="M10" s="238">
        <f>(G10+H10)/I10</f>
        <v>0.2425682996866802</v>
      </c>
      <c r="N10" s="243">
        <f>(G10+H10)/F67</f>
        <v>144.61824999999999</v>
      </c>
      <c r="O10" s="243">
        <f>(G10+H10)/G67</f>
        <v>93.302096774193544</v>
      </c>
      <c r="P10" s="96"/>
    </row>
    <row r="11" spans="1:16" x14ac:dyDescent="0.3">
      <c r="A11" s="90">
        <f>31+A10</f>
        <v>43132</v>
      </c>
      <c r="B11" s="91">
        <v>381.3</v>
      </c>
      <c r="C11" s="92">
        <v>3642.46</v>
      </c>
      <c r="D11" s="91">
        <v>1616.33</v>
      </c>
      <c r="E11" s="91">
        <f>45.54+141.87</f>
        <v>187.41</v>
      </c>
      <c r="F11" s="92">
        <v>1565.27</v>
      </c>
      <c r="G11" s="91">
        <f t="shared" si="0"/>
        <v>7392.77</v>
      </c>
      <c r="H11" s="92">
        <v>0</v>
      </c>
      <c r="I11" s="91">
        <v>24296.35</v>
      </c>
      <c r="J11" s="92">
        <v>17961.3</v>
      </c>
      <c r="K11" s="97">
        <f t="shared" si="1"/>
        <v>42257.649999999994</v>
      </c>
      <c r="L11" s="91">
        <f>I11-G11+H11</f>
        <v>16903.579999999998</v>
      </c>
      <c r="M11" s="238">
        <f t="shared" ref="M11:M21" si="2">(G11+H11)/I11</f>
        <v>0.30427492195329753</v>
      </c>
      <c r="N11" s="243">
        <f t="shared" ref="N11:N21" si="3">(G11+H11)/F68</f>
        <v>180.31146341463415</v>
      </c>
      <c r="O11" s="243">
        <f t="shared" ref="O11:O21" si="4">(G11+H11)/G68</f>
        <v>117.34555555555556</v>
      </c>
      <c r="P11" s="96"/>
    </row>
    <row r="12" spans="1:16" x14ac:dyDescent="0.3">
      <c r="A12" s="90">
        <f t="shared" ref="A12:A21" si="5">31+A11</f>
        <v>43163</v>
      </c>
      <c r="B12" s="91">
        <v>1542</v>
      </c>
      <c r="C12" s="92">
        <v>627.92999999999995</v>
      </c>
      <c r="D12" s="91">
        <v>10750.12</v>
      </c>
      <c r="E12" s="91">
        <v>268.12</v>
      </c>
      <c r="F12" s="92">
        <v>144.96</v>
      </c>
      <c r="G12" s="91">
        <f t="shared" si="0"/>
        <v>13333.130000000001</v>
      </c>
      <c r="H12" s="98">
        <v>-44.63</v>
      </c>
      <c r="I12" s="91">
        <v>24296.35</v>
      </c>
      <c r="J12" s="92">
        <v>18835.09</v>
      </c>
      <c r="K12" s="97">
        <f t="shared" si="1"/>
        <v>43131.44</v>
      </c>
      <c r="L12" s="91">
        <f t="shared" ref="L12:L21" si="6">I12-G12+H11</f>
        <v>10963.219999999998</v>
      </c>
      <c r="M12" s="238">
        <f t="shared" si="2"/>
        <v>0.54693400449038654</v>
      </c>
      <c r="N12" s="243">
        <f t="shared" si="3"/>
        <v>324.10975609756105</v>
      </c>
      <c r="O12" s="243">
        <f t="shared" si="4"/>
        <v>210.92857142857144</v>
      </c>
      <c r="P12" s="96"/>
    </row>
    <row r="13" spans="1:16" x14ac:dyDescent="0.3">
      <c r="A13" s="90">
        <f t="shared" si="5"/>
        <v>43194</v>
      </c>
      <c r="B13" s="91">
        <v>4951.95</v>
      </c>
      <c r="C13" s="92">
        <v>821.01</v>
      </c>
      <c r="D13" s="91">
        <v>242.47</v>
      </c>
      <c r="E13" s="91">
        <f>0.93+648.82</f>
        <v>649.75</v>
      </c>
      <c r="F13" s="92">
        <v>309.33</v>
      </c>
      <c r="G13" s="91">
        <f t="shared" si="0"/>
        <v>6974.51</v>
      </c>
      <c r="H13" s="92">
        <f>-44.63-H12</f>
        <v>0</v>
      </c>
      <c r="I13" s="91">
        <v>24296.35</v>
      </c>
      <c r="J13" s="92">
        <v>19154.54</v>
      </c>
      <c r="K13" s="97">
        <f t="shared" si="1"/>
        <v>43450.89</v>
      </c>
      <c r="L13" s="91">
        <f t="shared" si="6"/>
        <v>17277.209999999995</v>
      </c>
      <c r="M13" s="238">
        <f t="shared" si="2"/>
        <v>0.28705999049239911</v>
      </c>
      <c r="N13" s="243">
        <f t="shared" si="3"/>
        <v>136.75509803921568</v>
      </c>
      <c r="O13" s="243">
        <f t="shared" si="4"/>
        <v>82.053058823529412</v>
      </c>
      <c r="P13" s="96"/>
    </row>
    <row r="14" spans="1:16" x14ac:dyDescent="0.3">
      <c r="A14" s="90">
        <f t="shared" si="5"/>
        <v>43225</v>
      </c>
      <c r="B14" s="91">
        <v>3325.7</v>
      </c>
      <c r="C14" s="92">
        <v>2188.62</v>
      </c>
      <c r="D14" s="91">
        <v>325.95999999999998</v>
      </c>
      <c r="E14" s="91">
        <f>8.34+1308.31</f>
        <v>1316.6499999999999</v>
      </c>
      <c r="F14" s="92">
        <v>188.85</v>
      </c>
      <c r="G14" s="91">
        <f t="shared" si="0"/>
        <v>7345.78</v>
      </c>
      <c r="H14" s="92">
        <f>-44.63-H13-H12</f>
        <v>0</v>
      </c>
      <c r="I14" s="91">
        <v>38639.980000000003</v>
      </c>
      <c r="J14" s="92">
        <v>29438.54</v>
      </c>
      <c r="K14" s="97">
        <f t="shared" si="1"/>
        <v>68078.52</v>
      </c>
      <c r="L14" s="91">
        <f t="shared" si="6"/>
        <v>31294.200000000004</v>
      </c>
      <c r="M14" s="238">
        <f t="shared" si="2"/>
        <v>0.19010827645355921</v>
      </c>
      <c r="N14" s="243">
        <f t="shared" si="3"/>
        <v>136.03296296296296</v>
      </c>
      <c r="O14" s="243">
        <f t="shared" si="4"/>
        <v>83.474772727272722</v>
      </c>
      <c r="P14" s="96"/>
    </row>
    <row r="15" spans="1:16" x14ac:dyDescent="0.3">
      <c r="A15" s="90">
        <f t="shared" si="5"/>
        <v>43256</v>
      </c>
      <c r="B15" s="91">
        <v>13402.97</v>
      </c>
      <c r="C15" s="92">
        <v>746.03</v>
      </c>
      <c r="D15" s="91">
        <v>14242.25</v>
      </c>
      <c r="E15" s="91">
        <f>17.86+860.37</f>
        <v>878.23</v>
      </c>
      <c r="F15" s="92">
        <v>254.01</v>
      </c>
      <c r="G15" s="91">
        <f t="shared" si="0"/>
        <v>29523.489999999998</v>
      </c>
      <c r="H15" s="92">
        <f>-761.05-H14-H13-H12</f>
        <v>-716.42</v>
      </c>
      <c r="I15" s="91">
        <v>34887.26</v>
      </c>
      <c r="J15" s="92">
        <v>26885.38</v>
      </c>
      <c r="K15" s="97">
        <f t="shared" si="1"/>
        <v>61772.639999999999</v>
      </c>
      <c r="L15" s="91">
        <f t="shared" si="6"/>
        <v>5363.7700000000041</v>
      </c>
      <c r="M15" s="238">
        <f t="shared" si="2"/>
        <v>0.8257189013983901</v>
      </c>
      <c r="N15" s="243">
        <f t="shared" si="3"/>
        <v>533.46425925925928</v>
      </c>
      <c r="O15" s="243">
        <f t="shared" si="4"/>
        <v>316.5612087912088</v>
      </c>
      <c r="P15" s="96"/>
    </row>
    <row r="16" spans="1:16" x14ac:dyDescent="0.3">
      <c r="A16" s="90">
        <f t="shared" si="5"/>
        <v>43287</v>
      </c>
      <c r="B16" s="91">
        <v>13763</v>
      </c>
      <c r="C16" s="92">
        <v>29514.76</v>
      </c>
      <c r="D16" s="91">
        <v>276.95999999999998</v>
      </c>
      <c r="E16" s="91">
        <f>16.39+552.17</f>
        <v>568.55999999999995</v>
      </c>
      <c r="F16" s="92">
        <v>1810.1</v>
      </c>
      <c r="G16" s="91">
        <f t="shared" si="0"/>
        <v>45933.37999999999</v>
      </c>
      <c r="H16" s="92">
        <f>-761.05-H15-H14-H13-H12</f>
        <v>0</v>
      </c>
      <c r="I16" s="91">
        <v>33678.01</v>
      </c>
      <c r="J16" s="92">
        <v>25911.27</v>
      </c>
      <c r="K16" s="97">
        <f t="shared" si="1"/>
        <v>59589.279999999999</v>
      </c>
      <c r="L16" s="91">
        <f t="shared" si="6"/>
        <v>-12971.789999999988</v>
      </c>
      <c r="M16" s="238">
        <f t="shared" si="2"/>
        <v>1.3638982825885493</v>
      </c>
      <c r="N16" s="243">
        <f t="shared" si="3"/>
        <v>866.66754716981109</v>
      </c>
      <c r="O16" s="243">
        <f t="shared" si="4"/>
        <v>510.37088888888877</v>
      </c>
      <c r="P16" s="96"/>
    </row>
    <row r="17" spans="1:18" x14ac:dyDescent="0.3">
      <c r="A17" s="90">
        <f t="shared" si="5"/>
        <v>43318</v>
      </c>
      <c r="B17" s="91">
        <v>10942.15</v>
      </c>
      <c r="C17" s="92">
        <v>1307</v>
      </c>
      <c r="D17" s="91">
        <v>1023.7</v>
      </c>
      <c r="E17" s="91">
        <f>30.91+402.73</f>
        <v>433.64000000000004</v>
      </c>
      <c r="F17" s="92">
        <v>172.22</v>
      </c>
      <c r="G17" s="91">
        <f t="shared" si="0"/>
        <v>13878.71</v>
      </c>
      <c r="H17" s="92">
        <f>11271.6-H16-H15-H14-H13-H12-H11-H10</f>
        <v>12032.65</v>
      </c>
      <c r="I17" s="91">
        <v>32780.99</v>
      </c>
      <c r="J17" s="92">
        <v>25304.71</v>
      </c>
      <c r="K17" s="97">
        <f t="shared" si="1"/>
        <v>58085.7</v>
      </c>
      <c r="L17" s="91">
        <f t="shared" si="6"/>
        <v>18902.28</v>
      </c>
      <c r="M17" s="238">
        <f t="shared" si="2"/>
        <v>0.7904386048133385</v>
      </c>
      <c r="N17" s="243">
        <f t="shared" si="3"/>
        <v>479.84000000000003</v>
      </c>
      <c r="O17" s="243">
        <f t="shared" si="4"/>
        <v>275.65276595744683</v>
      </c>
      <c r="P17" s="96"/>
    </row>
    <row r="18" spans="1:18" x14ac:dyDescent="0.3">
      <c r="A18" s="90">
        <f t="shared" si="5"/>
        <v>43349</v>
      </c>
      <c r="B18" s="91">
        <v>32106.58</v>
      </c>
      <c r="C18" s="92">
        <v>961.37</v>
      </c>
      <c r="D18" s="91">
        <v>140.58000000000001</v>
      </c>
      <c r="E18" s="91">
        <v>420.67</v>
      </c>
      <c r="F18" s="92">
        <v>271.88</v>
      </c>
      <c r="G18" s="91">
        <f t="shared" si="0"/>
        <v>33901.08</v>
      </c>
      <c r="H18" s="92">
        <f>56173.67-H17-H16-H15-H14-H13-H12</f>
        <v>44902.069999999992</v>
      </c>
      <c r="I18" s="91">
        <v>34316.28</v>
      </c>
      <c r="J18" s="92">
        <v>26566.3</v>
      </c>
      <c r="K18" s="97">
        <f t="shared" si="1"/>
        <v>60882.58</v>
      </c>
      <c r="L18" s="91">
        <f t="shared" si="6"/>
        <v>12447.849999999997</v>
      </c>
      <c r="M18" s="238">
        <f t="shared" si="2"/>
        <v>2.2963779873576038</v>
      </c>
      <c r="N18" s="243">
        <f t="shared" si="3"/>
        <v>1459.3175925925925</v>
      </c>
      <c r="O18" s="243">
        <f t="shared" si="4"/>
        <v>847.3456989247311</v>
      </c>
      <c r="P18" s="96"/>
    </row>
    <row r="19" spans="1:18" x14ac:dyDescent="0.3">
      <c r="A19" s="90">
        <f t="shared" si="5"/>
        <v>43380</v>
      </c>
      <c r="B19" s="91">
        <v>5491.67</v>
      </c>
      <c r="C19" s="92">
        <v>1349.28</v>
      </c>
      <c r="D19" s="91">
        <v>403.49</v>
      </c>
      <c r="E19" s="91">
        <f>30.91+302.56</f>
        <v>333.47</v>
      </c>
      <c r="F19" s="92">
        <v>447.9</v>
      </c>
      <c r="G19" s="91">
        <f t="shared" si="0"/>
        <v>8025.8099999999995</v>
      </c>
      <c r="H19" s="92">
        <f>82783.33-H18-H17-H16-H15-H14-H13-H12</f>
        <v>26609.660000000007</v>
      </c>
      <c r="I19" s="91">
        <v>33664.199999999997</v>
      </c>
      <c r="J19" s="92">
        <v>25991.34</v>
      </c>
      <c r="K19" s="97">
        <f t="shared" si="1"/>
        <v>59655.539999999994</v>
      </c>
      <c r="L19" s="91">
        <f t="shared" si="6"/>
        <v>70540.459999999992</v>
      </c>
      <c r="M19" s="238">
        <f t="shared" si="2"/>
        <v>1.0288517178486347</v>
      </c>
      <c r="N19" s="243">
        <f t="shared" si="3"/>
        <v>641.39759259259279</v>
      </c>
      <c r="O19" s="243">
        <f t="shared" si="4"/>
        <v>372.42440860215061</v>
      </c>
      <c r="P19" s="96"/>
    </row>
    <row r="20" spans="1:18" x14ac:dyDescent="0.3">
      <c r="A20" s="90">
        <f t="shared" si="5"/>
        <v>43411</v>
      </c>
      <c r="B20" s="91">
        <v>2262.98</v>
      </c>
      <c r="C20" s="92">
        <v>2200.35</v>
      </c>
      <c r="D20" s="91">
        <v>54.17</v>
      </c>
      <c r="E20" s="91">
        <f>95.63+175.79</f>
        <v>271.41999999999996</v>
      </c>
      <c r="F20" s="92">
        <v>174.04</v>
      </c>
      <c r="G20" s="91">
        <f t="shared" si="0"/>
        <v>4962.96</v>
      </c>
      <c r="H20" s="92">
        <f>108439.16-H19-H18-H17-H16-H15-H14-H13-H12</f>
        <v>25655.830000000005</v>
      </c>
      <c r="I20" s="91">
        <v>34352.5</v>
      </c>
      <c r="J20" s="92">
        <v>26598.27</v>
      </c>
      <c r="K20" s="97">
        <f t="shared" si="1"/>
        <v>60950.770000000004</v>
      </c>
      <c r="L20" s="91">
        <f t="shared" si="6"/>
        <v>55999.200000000012</v>
      </c>
      <c r="M20" s="238">
        <f t="shared" si="2"/>
        <v>0.89131184047740353</v>
      </c>
      <c r="N20" s="243">
        <f t="shared" si="3"/>
        <v>537.17175438596496</v>
      </c>
      <c r="O20" s="243">
        <f t="shared" si="4"/>
        <v>306.18790000000007</v>
      </c>
    </row>
    <row r="21" spans="1:18" ht="17.25" thickBot="1" x14ac:dyDescent="0.35">
      <c r="A21" s="90">
        <f t="shared" si="5"/>
        <v>43442</v>
      </c>
      <c r="B21" s="91">
        <v>2309.79</v>
      </c>
      <c r="C21" s="92">
        <v>2678.07</v>
      </c>
      <c r="D21" s="91">
        <v>783.26</v>
      </c>
      <c r="E21" s="91">
        <f>458.7+564.64</f>
        <v>1023.3399999999999</v>
      </c>
      <c r="F21" s="92">
        <v>181.13</v>
      </c>
      <c r="G21" s="91">
        <f t="shared" si="0"/>
        <v>6975.5900000000011</v>
      </c>
      <c r="H21" s="92">
        <f>111677.47-H20-H19-H18-H17-H16-H15-H14-H13-H12</f>
        <v>3238.310000000004</v>
      </c>
      <c r="I21" s="91">
        <v>36286.269999999997</v>
      </c>
      <c r="J21" s="92">
        <v>29185.35</v>
      </c>
      <c r="K21" s="97">
        <f t="shared" si="1"/>
        <v>65471.619999999995</v>
      </c>
      <c r="L21" s="91">
        <f t="shared" si="6"/>
        <v>54966.51</v>
      </c>
      <c r="M21" s="238">
        <f t="shared" si="2"/>
        <v>0.28148112219856175</v>
      </c>
      <c r="N21" s="243">
        <f t="shared" si="3"/>
        <v>182.39107142857151</v>
      </c>
      <c r="O21" s="243">
        <f t="shared" si="4"/>
        <v>103.17070707070712</v>
      </c>
      <c r="P21" s="96"/>
    </row>
    <row r="22" spans="1:18" ht="17.25" thickBot="1" x14ac:dyDescent="0.35">
      <c r="A22" s="99" t="s">
        <v>36</v>
      </c>
      <c r="B22" s="100">
        <f t="shared" ref="B22:K22" si="7">SUM(B10:B21)</f>
        <v>92461.909999999989</v>
      </c>
      <c r="C22" s="101">
        <f t="shared" si="7"/>
        <v>48588.75</v>
      </c>
      <c r="D22" s="102">
        <f t="shared" si="7"/>
        <v>30592.219999999998</v>
      </c>
      <c r="E22" s="101">
        <f t="shared" si="7"/>
        <v>6618.5500000000011</v>
      </c>
      <c r="F22" s="102">
        <f t="shared" si="7"/>
        <v>5770.51</v>
      </c>
      <c r="G22" s="101">
        <f t="shared" si="7"/>
        <v>184031.94</v>
      </c>
      <c r="H22" s="101">
        <f t="shared" si="7"/>
        <v>111677.47</v>
      </c>
      <c r="I22" s="101">
        <f t="shared" si="7"/>
        <v>375342.38000000006</v>
      </c>
      <c r="J22" s="103">
        <f t="shared" si="7"/>
        <v>292196.03999999998</v>
      </c>
      <c r="K22" s="103">
        <f t="shared" si="7"/>
        <v>667538.42000000016</v>
      </c>
      <c r="L22" s="101">
        <f>SUM(L10:L21)</f>
        <v>299749.60000000003</v>
      </c>
      <c r="M22" s="240">
        <f>AVERAGE(M10:M21)</f>
        <v>0.75408532914656712</v>
      </c>
      <c r="N22" s="244">
        <f>AVERAGE(N10:N21)</f>
        <v>468.50644566193046</v>
      </c>
      <c r="O22" s="244">
        <f>AVERAGE(O10:O21)</f>
        <v>276.56813612868797</v>
      </c>
    </row>
    <row r="23" spans="1:18" ht="33.75" thickBot="1" x14ac:dyDescent="0.35">
      <c r="L23" s="83" t="s">
        <v>88</v>
      </c>
    </row>
    <row r="24" spans="1:18" ht="20.45" customHeight="1" thickBot="1" x14ac:dyDescent="0.35">
      <c r="A24" s="104" t="s">
        <v>74</v>
      </c>
      <c r="L24" s="248">
        <f>L22/2</f>
        <v>149874.80000000002</v>
      </c>
    </row>
    <row r="25" spans="1:18" x14ac:dyDescent="0.3">
      <c r="H25" s="98"/>
      <c r="I25" s="84"/>
      <c r="J25" s="84"/>
      <c r="K25" s="84"/>
      <c r="L25" s="84"/>
    </row>
    <row r="26" spans="1:18" ht="14.25" customHeight="1" x14ac:dyDescent="0.3">
      <c r="B26" s="105" t="s">
        <v>82</v>
      </c>
      <c r="C26" s="106"/>
      <c r="D26" s="106"/>
      <c r="E26" s="105" t="s">
        <v>80</v>
      </c>
      <c r="F26" s="106"/>
      <c r="G26" s="106"/>
      <c r="I26" s="105"/>
      <c r="J26" s="106"/>
      <c r="K26" s="107"/>
      <c r="R26" s="83"/>
    </row>
    <row r="27" spans="1:18" ht="17.25" thickBot="1" x14ac:dyDescent="0.35">
      <c r="B27" s="106"/>
      <c r="C27" s="106"/>
      <c r="D27" s="106"/>
      <c r="E27" s="106"/>
      <c r="F27" s="106"/>
      <c r="G27" s="106"/>
      <c r="I27" s="106"/>
      <c r="J27" s="106"/>
      <c r="K27" s="108"/>
      <c r="R27" s="83"/>
    </row>
    <row r="28" spans="1:18" ht="50.25" thickBot="1" x14ac:dyDescent="0.35">
      <c r="B28" s="75" t="s">
        <v>84</v>
      </c>
      <c r="C28" s="75" t="s">
        <v>38</v>
      </c>
      <c r="D28" s="84"/>
      <c r="E28" s="75" t="s">
        <v>75</v>
      </c>
      <c r="F28" s="89" t="s">
        <v>76</v>
      </c>
      <c r="G28" s="89" t="s">
        <v>77</v>
      </c>
      <c r="I28" s="109"/>
      <c r="J28" s="109"/>
      <c r="K28" s="109"/>
    </row>
    <row r="29" spans="1:18" x14ac:dyDescent="0.3">
      <c r="A29" s="90">
        <v>43101</v>
      </c>
      <c r="B29" s="110">
        <f t="shared" ref="B29:B34" si="8">C29/12</f>
        <v>12.916666666666666</v>
      </c>
      <c r="C29" s="110">
        <f t="shared" ref="C29:C34" si="9">2.5*G67</f>
        <v>155</v>
      </c>
      <c r="E29" s="110">
        <f>440.99+120.27</f>
        <v>561.26</v>
      </c>
      <c r="F29" s="111">
        <v>582.98</v>
      </c>
      <c r="G29" s="111">
        <v>913.76</v>
      </c>
      <c r="H29" s="112"/>
      <c r="I29" s="113"/>
      <c r="J29" s="113"/>
      <c r="K29" s="114"/>
    </row>
    <row r="30" spans="1:18" x14ac:dyDescent="0.3">
      <c r="A30" s="90">
        <f>31+A29</f>
        <v>43132</v>
      </c>
      <c r="B30" s="110">
        <f t="shared" si="8"/>
        <v>13.125</v>
      </c>
      <c r="C30" s="110">
        <f t="shared" si="9"/>
        <v>157.5</v>
      </c>
      <c r="E30" s="110">
        <f>440.99+120.27</f>
        <v>561.26</v>
      </c>
      <c r="F30" s="111">
        <v>582.98</v>
      </c>
      <c r="G30" s="111">
        <v>857.12</v>
      </c>
      <c r="H30" s="112"/>
      <c r="I30" s="113"/>
      <c r="J30" s="113"/>
      <c r="K30" s="114"/>
    </row>
    <row r="31" spans="1:18" x14ac:dyDescent="0.3">
      <c r="A31" s="90">
        <f t="shared" ref="A31:A40" si="10">31+A30</f>
        <v>43163</v>
      </c>
      <c r="B31" s="110">
        <f t="shared" si="8"/>
        <v>13.125</v>
      </c>
      <c r="C31" s="110">
        <f t="shared" si="9"/>
        <v>157.5</v>
      </c>
      <c r="E31" s="110">
        <f>451.99+123.27</f>
        <v>575.26</v>
      </c>
      <c r="F31" s="111">
        <v>605.9</v>
      </c>
      <c r="G31" s="111">
        <v>857.12</v>
      </c>
      <c r="I31" s="113"/>
      <c r="J31" s="113"/>
      <c r="K31" s="114"/>
    </row>
    <row r="32" spans="1:18" x14ac:dyDescent="0.3">
      <c r="A32" s="90">
        <f t="shared" si="10"/>
        <v>43194</v>
      </c>
      <c r="B32" s="110">
        <f t="shared" si="8"/>
        <v>17.708333333333332</v>
      </c>
      <c r="C32" s="110">
        <f t="shared" si="9"/>
        <v>212.5</v>
      </c>
      <c r="E32" s="115">
        <f>465.41+123.93</f>
        <v>589.34</v>
      </c>
      <c r="F32" s="111">
        <v>614.14</v>
      </c>
      <c r="G32" s="111">
        <v>895.61</v>
      </c>
      <c r="H32" s="106"/>
      <c r="I32" s="113"/>
      <c r="J32" s="113"/>
      <c r="K32" s="114"/>
    </row>
    <row r="33" spans="1:12" ht="13.9" customHeight="1" x14ac:dyDescent="0.3">
      <c r="A33" s="90">
        <f t="shared" si="10"/>
        <v>43225</v>
      </c>
      <c r="B33" s="110">
        <f t="shared" si="8"/>
        <v>18.333333333333332</v>
      </c>
      <c r="C33" s="110">
        <f t="shared" si="9"/>
        <v>220</v>
      </c>
      <c r="E33" s="110">
        <f>544.28+148.44</f>
        <v>692.72</v>
      </c>
      <c r="F33" s="111">
        <v>691.73</v>
      </c>
      <c r="G33" s="111">
        <v>929.87</v>
      </c>
      <c r="H33" s="106"/>
      <c r="I33" s="116"/>
      <c r="J33" s="116"/>
      <c r="K33" s="116"/>
    </row>
    <row r="34" spans="1:12" x14ac:dyDescent="0.3">
      <c r="A34" s="90">
        <f t="shared" si="10"/>
        <v>43256</v>
      </c>
      <c r="B34" s="110">
        <f t="shared" si="8"/>
        <v>18.958333333333332</v>
      </c>
      <c r="C34" s="110">
        <f t="shared" si="9"/>
        <v>227.5</v>
      </c>
      <c r="E34" s="110">
        <f>1100.55+300.15</f>
        <v>1400.6999999999998</v>
      </c>
      <c r="F34" s="111">
        <v>970.76</v>
      </c>
      <c r="G34" s="111">
        <v>1280.8499999999999</v>
      </c>
      <c r="H34" s="106"/>
      <c r="I34" s="116"/>
      <c r="J34" s="116"/>
      <c r="K34" s="116"/>
    </row>
    <row r="35" spans="1:12" x14ac:dyDescent="0.3">
      <c r="A35" s="90">
        <f t="shared" si="10"/>
        <v>43287</v>
      </c>
      <c r="B35" s="110">
        <f t="shared" ref="B35:B40" si="11">C35/12</f>
        <v>18.75</v>
      </c>
      <c r="C35" s="110">
        <f t="shared" ref="C35:C40" si="12">2.5*G73</f>
        <v>225</v>
      </c>
      <c r="E35" s="110">
        <f>813.34+221.82</f>
        <v>1035.1600000000001</v>
      </c>
      <c r="F35" s="111">
        <v>945.21</v>
      </c>
      <c r="G35" s="111">
        <v>846.44</v>
      </c>
      <c r="H35" s="84"/>
      <c r="I35" s="116"/>
      <c r="J35" s="116"/>
      <c r="K35" s="116"/>
    </row>
    <row r="36" spans="1:12" x14ac:dyDescent="0.3">
      <c r="A36" s="90">
        <f t="shared" si="10"/>
        <v>43318</v>
      </c>
      <c r="B36" s="110">
        <f t="shared" si="11"/>
        <v>19.583333333333332</v>
      </c>
      <c r="C36" s="110">
        <f t="shared" si="12"/>
        <v>235</v>
      </c>
      <c r="E36" s="110">
        <f>820.27+223.71</f>
        <v>1043.98</v>
      </c>
      <c r="F36" s="111">
        <v>954.27</v>
      </c>
      <c r="G36" s="111">
        <v>846.65</v>
      </c>
      <c r="H36" s="84"/>
      <c r="I36" s="116"/>
      <c r="J36" s="116"/>
      <c r="K36" s="116"/>
    </row>
    <row r="37" spans="1:12" x14ac:dyDescent="0.3">
      <c r="A37" s="90">
        <f t="shared" si="10"/>
        <v>43349</v>
      </c>
      <c r="B37" s="110">
        <f t="shared" si="11"/>
        <v>19.375</v>
      </c>
      <c r="C37" s="110">
        <f t="shared" si="12"/>
        <v>232.5</v>
      </c>
      <c r="E37" s="110">
        <f>841.94+229.62</f>
        <v>1071.56</v>
      </c>
      <c r="F37" s="111">
        <v>982.75</v>
      </c>
      <c r="G37" s="111">
        <v>902.78</v>
      </c>
      <c r="H37" s="84"/>
      <c r="I37" s="116"/>
      <c r="J37" s="116"/>
      <c r="K37" s="116"/>
    </row>
    <row r="38" spans="1:12" x14ac:dyDescent="0.3">
      <c r="A38" s="90">
        <f t="shared" si="10"/>
        <v>43380</v>
      </c>
      <c r="B38" s="110">
        <f t="shared" si="11"/>
        <v>19.375</v>
      </c>
      <c r="C38" s="110">
        <f t="shared" si="12"/>
        <v>232.5</v>
      </c>
      <c r="E38" s="110">
        <f>800.8+218.4</f>
        <v>1019.1999999999999</v>
      </c>
      <c r="F38" s="111">
        <v>955.31</v>
      </c>
      <c r="G38" s="111">
        <v>882.5</v>
      </c>
      <c r="H38" s="84"/>
      <c r="I38" s="116"/>
      <c r="J38" s="116"/>
      <c r="K38" s="116"/>
    </row>
    <row r="39" spans="1:12" x14ac:dyDescent="0.3">
      <c r="A39" s="90">
        <f t="shared" si="10"/>
        <v>43411</v>
      </c>
      <c r="B39" s="110">
        <f t="shared" si="11"/>
        <v>20.833333333333332</v>
      </c>
      <c r="C39" s="110">
        <f t="shared" si="12"/>
        <v>250</v>
      </c>
      <c r="E39" s="110">
        <f>830.06+226.38</f>
        <v>1056.44</v>
      </c>
      <c r="F39" s="111">
        <v>978.28</v>
      </c>
      <c r="G39" s="111">
        <v>899.35</v>
      </c>
      <c r="H39" s="84"/>
      <c r="I39" s="116"/>
      <c r="J39" s="116"/>
      <c r="K39" s="116"/>
    </row>
    <row r="40" spans="1:12" ht="17.25" thickBot="1" x14ac:dyDescent="0.35">
      <c r="A40" s="90">
        <f t="shared" si="10"/>
        <v>43442</v>
      </c>
      <c r="B40" s="110">
        <f t="shared" si="11"/>
        <v>20.625</v>
      </c>
      <c r="C40" s="110">
        <f t="shared" si="12"/>
        <v>247.5</v>
      </c>
      <c r="E40" s="110">
        <f>858.22+234.09</f>
        <v>1092.31</v>
      </c>
      <c r="F40" s="111">
        <v>1014.12</v>
      </c>
      <c r="G40" s="111">
        <v>925.52</v>
      </c>
      <c r="H40" s="84"/>
      <c r="I40" s="116"/>
      <c r="J40" s="116"/>
      <c r="K40" s="116"/>
    </row>
    <row r="41" spans="1:12" ht="17.25" thickBot="1" x14ac:dyDescent="0.35">
      <c r="A41" s="99" t="s">
        <v>72</v>
      </c>
      <c r="B41" s="117"/>
      <c r="C41" s="118">
        <f>AVERAGE(C29:C40)</f>
        <v>212.70833333333334</v>
      </c>
      <c r="E41" s="118">
        <f>SUM(E29:E40)</f>
        <v>10699.19</v>
      </c>
      <c r="F41" s="118">
        <f>SUM(F29:F40)</f>
        <v>9878.43</v>
      </c>
      <c r="G41" s="118">
        <f>SUM(G29:G40)</f>
        <v>11037.570000000002</v>
      </c>
      <c r="H41" s="84"/>
      <c r="I41" s="113"/>
      <c r="J41" s="113"/>
      <c r="K41" s="114"/>
    </row>
    <row r="43" spans="1:12" x14ac:dyDescent="0.3">
      <c r="A43" s="99"/>
      <c r="K43" s="84"/>
      <c r="L43" s="84"/>
    </row>
    <row r="44" spans="1:12" ht="20.25" x14ac:dyDescent="0.3">
      <c r="A44" s="99"/>
      <c r="B44" s="82" t="s">
        <v>87</v>
      </c>
      <c r="H44" s="83" t="s">
        <v>37</v>
      </c>
      <c r="K44" s="84"/>
      <c r="L44" s="84"/>
    </row>
    <row r="45" spans="1:12" ht="20.25" x14ac:dyDescent="0.3">
      <c r="A45" s="99"/>
      <c r="B45" s="82" t="s">
        <v>0</v>
      </c>
      <c r="K45" s="84"/>
      <c r="L45" s="84"/>
    </row>
    <row r="46" spans="1:12" x14ac:dyDescent="0.3">
      <c r="A46" s="99"/>
      <c r="B46" s="85" t="s">
        <v>83</v>
      </c>
      <c r="K46" s="84"/>
      <c r="L46" s="84"/>
    </row>
    <row r="47" spans="1:12" x14ac:dyDescent="0.3">
      <c r="A47" s="99"/>
      <c r="K47" s="84"/>
      <c r="L47" s="84"/>
    </row>
    <row r="48" spans="1:12" ht="14.25" customHeight="1" x14ac:dyDescent="0.3">
      <c r="B48" s="86" t="s">
        <v>63</v>
      </c>
      <c r="C48" s="86"/>
      <c r="D48" s="86"/>
      <c r="E48" s="86"/>
      <c r="F48" s="86"/>
      <c r="G48" s="86"/>
      <c r="H48" s="86"/>
      <c r="I48" s="86"/>
      <c r="J48" s="86"/>
    </row>
    <row r="49" spans="1:12" ht="17.25" thickBot="1" x14ac:dyDescent="0.35">
      <c r="B49" s="86"/>
      <c r="C49" s="86"/>
      <c r="D49" s="86"/>
      <c r="E49" s="86"/>
      <c r="F49" s="86"/>
      <c r="G49" s="86"/>
      <c r="H49" s="86"/>
      <c r="I49" s="86"/>
      <c r="J49" s="86"/>
    </row>
    <row r="50" spans="1:12" ht="33.75" thickBot="1" x14ac:dyDescent="0.35">
      <c r="A50" s="119"/>
      <c r="B50" s="74" t="s">
        <v>39</v>
      </c>
      <c r="C50" s="75" t="s">
        <v>40</v>
      </c>
      <c r="D50" s="76" t="s">
        <v>41</v>
      </c>
      <c r="E50" s="75" t="s">
        <v>42</v>
      </c>
      <c r="F50" s="76" t="s">
        <v>43</v>
      </c>
      <c r="G50" s="75" t="s">
        <v>44</v>
      </c>
      <c r="H50" s="76" t="s">
        <v>45</v>
      </c>
      <c r="I50" s="75" t="s">
        <v>46</v>
      </c>
    </row>
    <row r="51" spans="1:12" x14ac:dyDescent="0.3">
      <c r="A51" s="90">
        <v>43101</v>
      </c>
      <c r="B51" s="120">
        <v>10</v>
      </c>
      <c r="C51" s="77">
        <v>2</v>
      </c>
      <c r="D51" s="121">
        <v>0</v>
      </c>
      <c r="E51" s="77">
        <v>1</v>
      </c>
      <c r="F51" s="121">
        <v>8</v>
      </c>
      <c r="G51" s="77">
        <v>4</v>
      </c>
      <c r="H51" s="121">
        <v>0</v>
      </c>
      <c r="I51" s="77">
        <v>4</v>
      </c>
    </row>
    <row r="52" spans="1:12" x14ac:dyDescent="0.3">
      <c r="A52" s="90">
        <f>31+A51</f>
        <v>43132</v>
      </c>
      <c r="B52" s="120">
        <v>11</v>
      </c>
      <c r="C52" s="77">
        <v>2</v>
      </c>
      <c r="D52" s="121">
        <v>0</v>
      </c>
      <c r="E52" s="77">
        <v>1</v>
      </c>
      <c r="F52" s="121">
        <v>8</v>
      </c>
      <c r="G52" s="77">
        <v>4</v>
      </c>
      <c r="H52" s="121">
        <v>0</v>
      </c>
      <c r="I52" s="77">
        <v>4</v>
      </c>
    </row>
    <row r="53" spans="1:12" x14ac:dyDescent="0.3">
      <c r="A53" s="90">
        <f t="shared" ref="A53:A62" si="13">31+A52</f>
        <v>43163</v>
      </c>
      <c r="B53" s="120">
        <v>11</v>
      </c>
      <c r="C53" s="77">
        <v>2</v>
      </c>
      <c r="D53" s="121">
        <v>0</v>
      </c>
      <c r="E53" s="77">
        <v>1</v>
      </c>
      <c r="F53" s="121">
        <v>8</v>
      </c>
      <c r="G53" s="77">
        <v>4</v>
      </c>
      <c r="H53" s="121">
        <v>0</v>
      </c>
      <c r="I53" s="77">
        <v>4</v>
      </c>
    </row>
    <row r="54" spans="1:12" x14ac:dyDescent="0.3">
      <c r="A54" s="90">
        <f t="shared" si="13"/>
        <v>43194</v>
      </c>
      <c r="B54" s="120">
        <v>14</v>
      </c>
      <c r="C54" s="77">
        <v>2</v>
      </c>
      <c r="D54" s="121">
        <v>2</v>
      </c>
      <c r="E54" s="77">
        <v>3</v>
      </c>
      <c r="F54" s="121">
        <v>9</v>
      </c>
      <c r="G54" s="77">
        <v>4</v>
      </c>
      <c r="H54" s="121">
        <v>1</v>
      </c>
      <c r="I54" s="77">
        <v>4</v>
      </c>
      <c r="K54" s="86"/>
      <c r="L54" s="86"/>
    </row>
    <row r="55" spans="1:12" x14ac:dyDescent="0.3">
      <c r="A55" s="90">
        <f t="shared" si="13"/>
        <v>43225</v>
      </c>
      <c r="B55" s="120">
        <v>15</v>
      </c>
      <c r="C55" s="77">
        <v>2</v>
      </c>
      <c r="D55" s="121">
        <v>2</v>
      </c>
      <c r="E55" s="77">
        <v>3</v>
      </c>
      <c r="F55" s="121">
        <v>11</v>
      </c>
      <c r="G55" s="77">
        <v>5</v>
      </c>
      <c r="H55" s="121">
        <v>1</v>
      </c>
      <c r="I55" s="77">
        <v>4</v>
      </c>
      <c r="K55" s="86"/>
      <c r="L55" s="86"/>
    </row>
    <row r="56" spans="1:12" x14ac:dyDescent="0.3">
      <c r="A56" s="90">
        <f t="shared" si="13"/>
        <v>43256</v>
      </c>
      <c r="B56" s="120">
        <v>15</v>
      </c>
      <c r="C56" s="77">
        <v>2</v>
      </c>
      <c r="D56" s="121">
        <v>2</v>
      </c>
      <c r="E56" s="77">
        <v>4</v>
      </c>
      <c r="F56" s="121">
        <v>10</v>
      </c>
      <c r="G56" s="77">
        <v>5</v>
      </c>
      <c r="H56" s="121">
        <v>1</v>
      </c>
      <c r="I56" s="77">
        <v>4</v>
      </c>
      <c r="K56" s="86"/>
      <c r="L56" s="86"/>
    </row>
    <row r="57" spans="1:12" x14ac:dyDescent="0.3">
      <c r="A57" s="90">
        <f t="shared" si="13"/>
        <v>43287</v>
      </c>
      <c r="B57" s="120">
        <v>14</v>
      </c>
      <c r="C57" s="77">
        <v>2</v>
      </c>
      <c r="D57" s="121">
        <v>2</v>
      </c>
      <c r="E57" s="77">
        <v>4</v>
      </c>
      <c r="F57" s="121">
        <v>10</v>
      </c>
      <c r="G57" s="77">
        <v>5</v>
      </c>
      <c r="H57" s="121">
        <v>1</v>
      </c>
      <c r="I57" s="77">
        <v>4</v>
      </c>
    </row>
    <row r="58" spans="1:12" x14ac:dyDescent="0.3">
      <c r="A58" s="90">
        <f t="shared" si="13"/>
        <v>43318</v>
      </c>
      <c r="B58" s="120">
        <v>14</v>
      </c>
      <c r="C58" s="77">
        <v>2</v>
      </c>
      <c r="D58" s="121">
        <v>2</v>
      </c>
      <c r="E58" s="77">
        <v>4</v>
      </c>
      <c r="F58" s="121">
        <v>10</v>
      </c>
      <c r="G58" s="77">
        <v>5</v>
      </c>
      <c r="H58" s="121">
        <v>1</v>
      </c>
      <c r="I58" s="77">
        <v>5</v>
      </c>
    </row>
    <row r="59" spans="1:12" x14ac:dyDescent="0.3">
      <c r="A59" s="90">
        <f t="shared" si="13"/>
        <v>43349</v>
      </c>
      <c r="B59" s="120">
        <v>14</v>
      </c>
      <c r="C59" s="77">
        <v>2</v>
      </c>
      <c r="D59" s="121">
        <v>2</v>
      </c>
      <c r="E59" s="77">
        <v>4</v>
      </c>
      <c r="F59" s="121">
        <v>10</v>
      </c>
      <c r="G59" s="77">
        <v>6</v>
      </c>
      <c r="H59" s="121">
        <v>1</v>
      </c>
      <c r="I59" s="77">
        <v>4</v>
      </c>
    </row>
    <row r="60" spans="1:12" x14ac:dyDescent="0.3">
      <c r="A60" s="90">
        <f t="shared" si="13"/>
        <v>43380</v>
      </c>
      <c r="B60" s="120">
        <v>14</v>
      </c>
      <c r="C60" s="77">
        <v>2</v>
      </c>
      <c r="D60" s="121">
        <v>2</v>
      </c>
      <c r="E60" s="77">
        <v>4</v>
      </c>
      <c r="F60" s="121">
        <v>10</v>
      </c>
      <c r="G60" s="77">
        <v>6</v>
      </c>
      <c r="H60" s="121">
        <v>1</v>
      </c>
      <c r="I60" s="77">
        <v>4</v>
      </c>
    </row>
    <row r="61" spans="1:12" x14ac:dyDescent="0.3">
      <c r="A61" s="90">
        <f t="shared" si="13"/>
        <v>43411</v>
      </c>
      <c r="B61" s="120">
        <v>15</v>
      </c>
      <c r="C61" s="77">
        <v>2</v>
      </c>
      <c r="D61" s="121">
        <v>2</v>
      </c>
      <c r="E61" s="77">
        <v>4</v>
      </c>
      <c r="F61" s="121">
        <v>10</v>
      </c>
      <c r="G61" s="77">
        <v>7</v>
      </c>
      <c r="H61" s="121">
        <v>1</v>
      </c>
      <c r="I61" s="77">
        <v>5</v>
      </c>
    </row>
    <row r="62" spans="1:12" ht="17.25" thickBot="1" x14ac:dyDescent="0.35">
      <c r="A62" s="90">
        <f t="shared" si="13"/>
        <v>43442</v>
      </c>
      <c r="B62" s="122">
        <v>14</v>
      </c>
      <c r="C62" s="123">
        <v>2</v>
      </c>
      <c r="D62" s="124">
        <v>2</v>
      </c>
      <c r="E62" s="123">
        <v>4</v>
      </c>
      <c r="F62" s="124">
        <v>10</v>
      </c>
      <c r="G62" s="123">
        <v>7</v>
      </c>
      <c r="H62" s="124">
        <v>1</v>
      </c>
      <c r="I62" s="123">
        <v>5</v>
      </c>
    </row>
    <row r="64" spans="1:12" ht="14.25" customHeight="1" x14ac:dyDescent="0.3">
      <c r="A64" s="125"/>
      <c r="B64" s="86" t="s">
        <v>63</v>
      </c>
      <c r="C64" s="86"/>
      <c r="D64" s="86"/>
      <c r="E64" s="86"/>
      <c r="F64" s="86"/>
      <c r="G64" s="86"/>
      <c r="H64" s="86"/>
      <c r="I64" s="86"/>
      <c r="J64" s="86"/>
    </row>
    <row r="65" spans="1:12" ht="17.25" thickBot="1" x14ac:dyDescent="0.35">
      <c r="A65" s="86"/>
      <c r="C65" s="86"/>
      <c r="D65" s="86"/>
      <c r="E65" s="86"/>
      <c r="F65" s="86"/>
      <c r="G65" s="86"/>
      <c r="H65" s="86"/>
      <c r="I65" s="84"/>
      <c r="J65" s="84"/>
    </row>
    <row r="66" spans="1:12" ht="50.25" thickBot="1" x14ac:dyDescent="0.35">
      <c r="B66" s="75" t="s">
        <v>47</v>
      </c>
      <c r="C66" s="75" t="s">
        <v>48</v>
      </c>
      <c r="D66" s="76" t="s">
        <v>50</v>
      </c>
      <c r="E66" s="75" t="s">
        <v>49</v>
      </c>
      <c r="F66" s="126" t="s">
        <v>89</v>
      </c>
      <c r="G66" s="75" t="s">
        <v>32</v>
      </c>
      <c r="H66" s="84"/>
      <c r="I66" s="84"/>
      <c r="J66" s="84"/>
    </row>
    <row r="67" spans="1:12" x14ac:dyDescent="0.3">
      <c r="A67" s="90">
        <v>43101</v>
      </c>
      <c r="B67" s="77">
        <v>7</v>
      </c>
      <c r="C67" s="77">
        <v>2</v>
      </c>
      <c r="D67" s="121">
        <v>1</v>
      </c>
      <c r="E67" s="77">
        <v>1</v>
      </c>
      <c r="F67" s="127">
        <f>B67+C67+D67+E67+B51+C51+D51+E51+F51+G51+H51+I51</f>
        <v>40</v>
      </c>
      <c r="G67" s="77">
        <v>62</v>
      </c>
      <c r="H67" s="84"/>
      <c r="I67" s="84"/>
      <c r="J67" s="84"/>
    </row>
    <row r="68" spans="1:12" x14ac:dyDescent="0.3">
      <c r="A68" s="90">
        <f>31+A67</f>
        <v>43132</v>
      </c>
      <c r="B68" s="77">
        <v>7</v>
      </c>
      <c r="C68" s="77">
        <v>2</v>
      </c>
      <c r="D68" s="121">
        <v>1</v>
      </c>
      <c r="E68" s="77">
        <v>1</v>
      </c>
      <c r="F68" s="128">
        <f t="shared" ref="F68:F78" si="14">B68+C68+D68+E68+B52+C52+D52+E52+F52+G52+H52+I52</f>
        <v>41</v>
      </c>
      <c r="G68" s="77">
        <v>63</v>
      </c>
      <c r="H68" s="84"/>
      <c r="I68" s="84"/>
      <c r="J68" s="84"/>
    </row>
    <row r="69" spans="1:12" x14ac:dyDescent="0.3">
      <c r="A69" s="90">
        <f t="shared" ref="A69:A78" si="15">31+A68</f>
        <v>43163</v>
      </c>
      <c r="B69" s="77">
        <v>7</v>
      </c>
      <c r="C69" s="77">
        <v>2</v>
      </c>
      <c r="D69" s="121">
        <v>1</v>
      </c>
      <c r="E69" s="77">
        <v>1</v>
      </c>
      <c r="F69" s="128">
        <f t="shared" si="14"/>
        <v>41</v>
      </c>
      <c r="G69" s="77">
        <v>63</v>
      </c>
      <c r="H69" s="84"/>
      <c r="I69" s="84"/>
      <c r="J69" s="84"/>
    </row>
    <row r="70" spans="1:12" x14ac:dyDescent="0.3">
      <c r="A70" s="90">
        <f t="shared" si="15"/>
        <v>43194</v>
      </c>
      <c r="B70" s="77">
        <v>8</v>
      </c>
      <c r="C70" s="77">
        <v>2</v>
      </c>
      <c r="D70" s="121">
        <v>1</v>
      </c>
      <c r="E70" s="77">
        <v>1</v>
      </c>
      <c r="F70" s="128">
        <f t="shared" si="14"/>
        <v>51</v>
      </c>
      <c r="G70" s="77">
        <v>85</v>
      </c>
      <c r="H70" s="84"/>
      <c r="I70" s="84"/>
      <c r="J70" s="84"/>
      <c r="K70" s="86"/>
      <c r="L70" s="86"/>
    </row>
    <row r="71" spans="1:12" x14ac:dyDescent="0.3">
      <c r="A71" s="90">
        <f t="shared" si="15"/>
        <v>43225</v>
      </c>
      <c r="B71" s="77">
        <v>8</v>
      </c>
      <c r="C71" s="77">
        <v>2</v>
      </c>
      <c r="D71" s="121">
        <v>0</v>
      </c>
      <c r="E71" s="77">
        <v>1</v>
      </c>
      <c r="F71" s="128">
        <f t="shared" si="14"/>
        <v>54</v>
      </c>
      <c r="G71" s="77">
        <v>88</v>
      </c>
      <c r="H71" s="84"/>
      <c r="I71" s="84"/>
      <c r="J71" s="84"/>
      <c r="K71" s="84"/>
      <c r="L71" s="84"/>
    </row>
    <row r="72" spans="1:12" x14ac:dyDescent="0.3">
      <c r="A72" s="90">
        <f t="shared" si="15"/>
        <v>43256</v>
      </c>
      <c r="B72" s="77">
        <v>8</v>
      </c>
      <c r="C72" s="77">
        <v>2</v>
      </c>
      <c r="D72" s="121">
        <v>0</v>
      </c>
      <c r="E72" s="77">
        <v>1</v>
      </c>
      <c r="F72" s="128">
        <f t="shared" si="14"/>
        <v>54</v>
      </c>
      <c r="G72" s="77">
        <v>91</v>
      </c>
      <c r="H72" s="84"/>
      <c r="I72" s="84"/>
      <c r="J72" s="84"/>
      <c r="K72" s="84"/>
      <c r="L72" s="84"/>
    </row>
    <row r="73" spans="1:12" x14ac:dyDescent="0.3">
      <c r="A73" s="90">
        <f t="shared" si="15"/>
        <v>43287</v>
      </c>
      <c r="B73" s="77">
        <v>8</v>
      </c>
      <c r="C73" s="77">
        <v>2</v>
      </c>
      <c r="D73" s="121">
        <v>0</v>
      </c>
      <c r="E73" s="77">
        <v>1</v>
      </c>
      <c r="F73" s="128">
        <f t="shared" si="14"/>
        <v>53</v>
      </c>
      <c r="G73" s="77">
        <v>90</v>
      </c>
      <c r="H73" s="84"/>
      <c r="I73" s="84"/>
      <c r="J73" s="84"/>
      <c r="K73" s="84"/>
      <c r="L73" s="84"/>
    </row>
    <row r="74" spans="1:12" x14ac:dyDescent="0.3">
      <c r="A74" s="90">
        <f t="shared" si="15"/>
        <v>43318</v>
      </c>
      <c r="B74" s="77">
        <v>8</v>
      </c>
      <c r="C74" s="77">
        <v>2</v>
      </c>
      <c r="D74" s="121">
        <v>0</v>
      </c>
      <c r="E74" s="77">
        <v>1</v>
      </c>
      <c r="F74" s="128">
        <f t="shared" si="14"/>
        <v>54</v>
      </c>
      <c r="G74" s="77">
        <v>94</v>
      </c>
      <c r="H74" s="84"/>
      <c r="I74" s="84"/>
      <c r="J74" s="84"/>
      <c r="K74" s="84"/>
      <c r="L74" s="84"/>
    </row>
    <row r="75" spans="1:12" x14ac:dyDescent="0.3">
      <c r="A75" s="90">
        <f t="shared" si="15"/>
        <v>43349</v>
      </c>
      <c r="B75" s="77">
        <v>8</v>
      </c>
      <c r="C75" s="77">
        <v>2</v>
      </c>
      <c r="D75" s="121">
        <v>0</v>
      </c>
      <c r="E75" s="77">
        <v>1</v>
      </c>
      <c r="F75" s="128">
        <f t="shared" si="14"/>
        <v>54</v>
      </c>
      <c r="G75" s="77">
        <v>93</v>
      </c>
      <c r="H75" s="84"/>
      <c r="I75" s="84"/>
      <c r="J75" s="84"/>
      <c r="K75" s="84"/>
      <c r="L75" s="84"/>
    </row>
    <row r="76" spans="1:12" x14ac:dyDescent="0.3">
      <c r="A76" s="90">
        <f t="shared" si="15"/>
        <v>43380</v>
      </c>
      <c r="B76" s="77">
        <v>8</v>
      </c>
      <c r="C76" s="77">
        <v>2</v>
      </c>
      <c r="D76" s="121">
        <v>0</v>
      </c>
      <c r="E76" s="77">
        <v>1</v>
      </c>
      <c r="F76" s="128">
        <f t="shared" si="14"/>
        <v>54</v>
      </c>
      <c r="G76" s="77">
        <v>93</v>
      </c>
      <c r="H76" s="84"/>
      <c r="I76" s="84"/>
      <c r="J76" s="84"/>
      <c r="K76" s="84"/>
      <c r="L76" s="84"/>
    </row>
    <row r="77" spans="1:12" x14ac:dyDescent="0.3">
      <c r="A77" s="90">
        <f t="shared" si="15"/>
        <v>43411</v>
      </c>
      <c r="B77" s="77">
        <v>8</v>
      </c>
      <c r="C77" s="77">
        <v>2</v>
      </c>
      <c r="D77" s="121">
        <v>0</v>
      </c>
      <c r="E77" s="77">
        <v>1</v>
      </c>
      <c r="F77" s="128">
        <f t="shared" si="14"/>
        <v>57</v>
      </c>
      <c r="G77" s="77">
        <v>100</v>
      </c>
      <c r="H77" s="84"/>
      <c r="I77" s="84"/>
      <c r="J77" s="84"/>
      <c r="K77" s="84"/>
      <c r="L77" s="84"/>
    </row>
    <row r="78" spans="1:12" ht="17.25" thickBot="1" x14ac:dyDescent="0.35">
      <c r="A78" s="90">
        <f t="shared" si="15"/>
        <v>43442</v>
      </c>
      <c r="B78" s="123">
        <v>8</v>
      </c>
      <c r="C78" s="123">
        <v>2</v>
      </c>
      <c r="D78" s="124">
        <v>0</v>
      </c>
      <c r="E78" s="123">
        <v>1</v>
      </c>
      <c r="F78" s="129">
        <f t="shared" si="14"/>
        <v>56</v>
      </c>
      <c r="G78" s="123">
        <v>99</v>
      </c>
      <c r="H78" s="84"/>
      <c r="I78" s="84"/>
      <c r="J78" s="84"/>
      <c r="K78" s="84"/>
      <c r="L78" s="84"/>
    </row>
    <row r="79" spans="1:12" x14ac:dyDescent="0.3">
      <c r="A79" s="83"/>
      <c r="I79" s="84"/>
      <c r="J79" s="84"/>
      <c r="K79" s="84"/>
      <c r="L79" s="84"/>
    </row>
    <row r="80" spans="1:12" x14ac:dyDescent="0.3">
      <c r="A80" s="83"/>
      <c r="I80" s="84"/>
      <c r="J80" s="84"/>
      <c r="K80" s="84"/>
      <c r="L80" s="84"/>
    </row>
    <row r="81" spans="1:12" ht="20.25" x14ac:dyDescent="0.3">
      <c r="A81" s="84"/>
      <c r="B81" s="82" t="s">
        <v>87</v>
      </c>
      <c r="H81" s="83" t="s">
        <v>37</v>
      </c>
      <c r="I81" s="84"/>
      <c r="J81" s="84"/>
      <c r="K81" s="84"/>
      <c r="L81" s="84"/>
    </row>
    <row r="82" spans="1:12" ht="20.25" x14ac:dyDescent="0.3">
      <c r="A82" s="84"/>
      <c r="B82" s="82" t="s">
        <v>0</v>
      </c>
      <c r="I82" s="84"/>
      <c r="J82" s="84"/>
      <c r="K82" s="84"/>
      <c r="L82" s="84"/>
    </row>
    <row r="83" spans="1:12" x14ac:dyDescent="0.3">
      <c r="A83" s="84"/>
      <c r="B83" s="85" t="s">
        <v>83</v>
      </c>
      <c r="I83" s="84"/>
      <c r="J83" s="84"/>
      <c r="K83" s="84"/>
      <c r="L83" s="84"/>
    </row>
    <row r="84" spans="1:12" ht="17.25" thickBot="1" x14ac:dyDescent="0.35">
      <c r="A84" s="83"/>
      <c r="I84" s="84"/>
      <c r="J84" s="84"/>
      <c r="K84" s="84"/>
      <c r="L84" s="84"/>
    </row>
    <row r="85" spans="1:12" x14ac:dyDescent="0.3">
      <c r="A85" s="130" t="s">
        <v>51</v>
      </c>
      <c r="B85" s="131"/>
      <c r="C85" s="131"/>
      <c r="D85" s="131"/>
      <c r="E85" s="131"/>
      <c r="F85" s="132"/>
      <c r="G85" s="133"/>
      <c r="K85" s="84"/>
      <c r="L85" s="84"/>
    </row>
    <row r="86" spans="1:12" ht="36.75" customHeight="1" x14ac:dyDescent="0.3">
      <c r="A86" s="134">
        <v>2018</v>
      </c>
      <c r="B86" s="135" t="s">
        <v>52</v>
      </c>
      <c r="C86" s="135" t="s">
        <v>53</v>
      </c>
      <c r="D86" s="135" t="s">
        <v>64</v>
      </c>
      <c r="E86" s="135" t="s">
        <v>54</v>
      </c>
      <c r="F86" s="135" t="s">
        <v>55</v>
      </c>
      <c r="G86" s="136" t="s">
        <v>65</v>
      </c>
      <c r="H86" s="137"/>
      <c r="I86" s="137"/>
      <c r="J86" s="137"/>
      <c r="K86" s="84"/>
      <c r="L86" s="84"/>
    </row>
    <row r="87" spans="1:12" x14ac:dyDescent="0.3">
      <c r="A87" s="138" t="s">
        <v>33</v>
      </c>
      <c r="B87" s="139">
        <v>751.79</v>
      </c>
      <c r="C87" s="139">
        <v>1578.75</v>
      </c>
      <c r="D87" s="139">
        <v>1578.75</v>
      </c>
      <c r="E87" s="139">
        <v>1428.38</v>
      </c>
      <c r="F87" s="139">
        <v>2255.36</v>
      </c>
      <c r="G87" s="140">
        <v>2255.36</v>
      </c>
      <c r="H87" s="137"/>
      <c r="I87" s="137"/>
      <c r="J87" s="137"/>
      <c r="K87" s="84"/>
      <c r="L87" s="84"/>
    </row>
    <row r="88" spans="1:12" x14ac:dyDescent="0.3">
      <c r="A88" s="138" t="s">
        <v>34</v>
      </c>
      <c r="B88" s="139">
        <v>681.71</v>
      </c>
      <c r="C88" s="139">
        <v>1431.57</v>
      </c>
      <c r="D88" s="139">
        <v>1431.57</v>
      </c>
      <c r="E88" s="139">
        <v>1295.23</v>
      </c>
      <c r="F88" s="139">
        <v>2045.09</v>
      </c>
      <c r="G88" s="140">
        <v>2045.09</v>
      </c>
      <c r="H88" s="137"/>
      <c r="I88" s="137"/>
      <c r="J88" s="137"/>
      <c r="K88" s="84"/>
      <c r="L88" s="84"/>
    </row>
    <row r="89" spans="1:12" x14ac:dyDescent="0.3">
      <c r="A89" s="138" t="s">
        <v>35</v>
      </c>
      <c r="B89" s="139">
        <v>646.46</v>
      </c>
      <c r="C89" s="139">
        <v>1357.56</v>
      </c>
      <c r="D89" s="139">
        <v>1357.56</v>
      </c>
      <c r="E89" s="139">
        <v>1228.29</v>
      </c>
      <c r="F89" s="139">
        <v>1939.39</v>
      </c>
      <c r="G89" s="140">
        <v>1939.39</v>
      </c>
      <c r="H89" s="137"/>
      <c r="I89" s="137"/>
      <c r="J89" s="137"/>
      <c r="K89" s="84"/>
      <c r="L89" s="84"/>
    </row>
    <row r="90" spans="1:12" s="142" customFormat="1" x14ac:dyDescent="0.3">
      <c r="A90" s="134" t="s">
        <v>85</v>
      </c>
      <c r="B90" s="113"/>
      <c r="C90" s="113"/>
      <c r="D90" s="113"/>
      <c r="E90" s="113"/>
      <c r="F90" s="113"/>
      <c r="G90" s="111"/>
      <c r="H90" s="141"/>
      <c r="I90" s="141"/>
      <c r="J90" s="141"/>
      <c r="K90" s="83"/>
      <c r="L90" s="83"/>
    </row>
    <row r="91" spans="1:12" x14ac:dyDescent="0.3">
      <c r="A91" s="138" t="s">
        <v>33</v>
      </c>
      <c r="B91" s="113">
        <v>114.44</v>
      </c>
      <c r="C91" s="113">
        <v>963.36</v>
      </c>
      <c r="D91" s="113">
        <v>479.05</v>
      </c>
      <c r="E91" s="113">
        <v>429.17</v>
      </c>
      <c r="F91" s="113">
        <v>1284.3599999999999</v>
      </c>
      <c r="G91" s="111">
        <v>662.01</v>
      </c>
      <c r="H91" s="137"/>
      <c r="I91" s="137"/>
      <c r="J91" s="143"/>
    </row>
    <row r="92" spans="1:12" x14ac:dyDescent="0.3">
      <c r="A92" s="138" t="s">
        <v>34</v>
      </c>
      <c r="B92" s="113">
        <v>61.98</v>
      </c>
      <c r="C92" s="113">
        <v>892.01</v>
      </c>
      <c r="D92" s="113">
        <v>377.85</v>
      </c>
      <c r="E92" s="113">
        <v>348.14</v>
      </c>
      <c r="F92" s="113">
        <v>1127.98</v>
      </c>
      <c r="G92" s="111">
        <v>467.26</v>
      </c>
      <c r="H92" s="137"/>
      <c r="I92" s="137"/>
      <c r="J92" s="144"/>
      <c r="K92" s="137"/>
      <c r="L92" s="121"/>
    </row>
    <row r="93" spans="1:12" x14ac:dyDescent="0.3">
      <c r="A93" s="138" t="s">
        <v>35</v>
      </c>
      <c r="B93" s="113">
        <v>20.27</v>
      </c>
      <c r="C93" s="113">
        <v>752.91</v>
      </c>
      <c r="D93" s="113">
        <v>277.08999999999997</v>
      </c>
      <c r="E93" s="113">
        <v>265.23</v>
      </c>
      <c r="F93" s="113">
        <v>985.33</v>
      </c>
      <c r="G93" s="111">
        <v>373.88</v>
      </c>
      <c r="H93" s="137"/>
      <c r="I93" s="137"/>
      <c r="J93" s="144"/>
      <c r="K93" s="137"/>
      <c r="L93" s="121"/>
    </row>
    <row r="94" spans="1:12" s="142" customFormat="1" x14ac:dyDescent="0.3">
      <c r="A94" s="134" t="s">
        <v>86</v>
      </c>
      <c r="B94" s="113"/>
      <c r="C94" s="113"/>
      <c r="D94" s="113"/>
      <c r="E94" s="113"/>
      <c r="F94" s="113"/>
      <c r="G94" s="111"/>
      <c r="H94" s="141"/>
      <c r="I94" s="141"/>
      <c r="J94" s="145"/>
      <c r="K94" s="137"/>
      <c r="L94" s="121"/>
    </row>
    <row r="95" spans="1:12" x14ac:dyDescent="0.3">
      <c r="A95" s="138" t="s">
        <v>33</v>
      </c>
      <c r="B95" s="113">
        <f t="shared" ref="B95:G97" si="16">B87-B91</f>
        <v>637.34999999999991</v>
      </c>
      <c r="C95" s="113">
        <f t="shared" si="16"/>
        <v>615.39</v>
      </c>
      <c r="D95" s="113">
        <f t="shared" si="16"/>
        <v>1099.7</v>
      </c>
      <c r="E95" s="113">
        <f t="shared" si="16"/>
        <v>999.21</v>
      </c>
      <c r="F95" s="113">
        <f t="shared" si="16"/>
        <v>971.00000000000023</v>
      </c>
      <c r="G95" s="111">
        <f t="shared" si="16"/>
        <v>1593.3500000000001</v>
      </c>
      <c r="H95" s="137"/>
      <c r="I95" s="137"/>
      <c r="J95" s="144"/>
      <c r="K95" s="137"/>
      <c r="L95" s="121"/>
    </row>
    <row r="96" spans="1:12" x14ac:dyDescent="0.3">
      <c r="A96" s="138" t="s">
        <v>34</v>
      </c>
      <c r="B96" s="113">
        <f t="shared" si="16"/>
        <v>619.73</v>
      </c>
      <c r="C96" s="113">
        <f t="shared" si="16"/>
        <v>539.55999999999995</v>
      </c>
      <c r="D96" s="113">
        <f t="shared" si="16"/>
        <v>1053.7199999999998</v>
      </c>
      <c r="E96" s="113">
        <f t="shared" si="16"/>
        <v>947.09</v>
      </c>
      <c r="F96" s="113">
        <f t="shared" si="16"/>
        <v>917.1099999999999</v>
      </c>
      <c r="G96" s="111">
        <f t="shared" si="16"/>
        <v>1577.83</v>
      </c>
      <c r="H96" s="137"/>
      <c r="I96" s="137"/>
      <c r="J96" s="144"/>
      <c r="K96" s="141"/>
      <c r="L96" s="141"/>
    </row>
    <row r="97" spans="1:12" ht="17.25" thickBot="1" x14ac:dyDescent="0.35">
      <c r="A97" s="146" t="s">
        <v>35</v>
      </c>
      <c r="B97" s="147">
        <f t="shared" si="16"/>
        <v>626.19000000000005</v>
      </c>
      <c r="C97" s="147">
        <f t="shared" si="16"/>
        <v>604.65</v>
      </c>
      <c r="D97" s="147">
        <f t="shared" si="16"/>
        <v>1080.47</v>
      </c>
      <c r="E97" s="147">
        <f t="shared" si="16"/>
        <v>963.06</v>
      </c>
      <c r="F97" s="147">
        <f t="shared" si="16"/>
        <v>954.06000000000006</v>
      </c>
      <c r="G97" s="148">
        <f t="shared" si="16"/>
        <v>1565.5100000000002</v>
      </c>
      <c r="H97" s="137"/>
      <c r="I97" s="137"/>
      <c r="J97" s="144"/>
      <c r="K97" s="137"/>
      <c r="L97" s="137"/>
    </row>
    <row r="98" spans="1:12" s="142" customFormat="1" x14ac:dyDescent="0.3">
      <c r="A98" s="149"/>
      <c r="B98" s="113"/>
      <c r="C98" s="113"/>
      <c r="D98" s="113"/>
      <c r="E98" s="113"/>
      <c r="F98" s="83"/>
      <c r="G98" s="83"/>
      <c r="H98" s="144"/>
      <c r="I98" s="137"/>
      <c r="J98" s="137"/>
      <c r="K98" s="137"/>
      <c r="L98" s="137"/>
    </row>
    <row r="99" spans="1:12" ht="13.5" customHeight="1" x14ac:dyDescent="0.3">
      <c r="A99" s="150"/>
      <c r="B99" s="135"/>
      <c r="C99" s="135"/>
      <c r="D99" s="135"/>
      <c r="E99" s="135"/>
      <c r="H99" s="106"/>
      <c r="I99" s="121"/>
      <c r="J99" s="121"/>
      <c r="K99" s="137"/>
      <c r="L99" s="137"/>
    </row>
    <row r="100" spans="1:12" x14ac:dyDescent="0.3">
      <c r="A100" s="151"/>
      <c r="B100" s="113"/>
      <c r="C100" s="113"/>
      <c r="D100" s="113"/>
      <c r="E100" s="113"/>
      <c r="H100" s="105"/>
      <c r="I100" s="121"/>
      <c r="J100" s="121"/>
      <c r="K100" s="141"/>
      <c r="L100" s="141"/>
    </row>
    <row r="101" spans="1:12" s="142" customFormat="1" x14ac:dyDescent="0.3">
      <c r="A101" s="152"/>
      <c r="B101" s="113"/>
      <c r="C101" s="113"/>
      <c r="D101" s="113"/>
      <c r="E101" s="113"/>
      <c r="F101" s="83"/>
      <c r="G101" s="83"/>
      <c r="H101" s="105"/>
      <c r="I101" s="121"/>
      <c r="J101" s="121"/>
      <c r="K101" s="137"/>
      <c r="L101" s="137"/>
    </row>
    <row r="102" spans="1:12" x14ac:dyDescent="0.3">
      <c r="A102" s="151"/>
      <c r="B102" s="113"/>
      <c r="C102" s="113"/>
      <c r="D102" s="113"/>
      <c r="E102" s="113"/>
      <c r="H102" s="105"/>
      <c r="I102" s="121"/>
      <c r="J102" s="121"/>
      <c r="K102" s="137"/>
      <c r="L102" s="137"/>
    </row>
    <row r="103" spans="1:12" s="142" customFormat="1" x14ac:dyDescent="0.3">
      <c r="A103" s="149"/>
      <c r="B103" s="113"/>
      <c r="C103" s="113"/>
      <c r="D103" s="113"/>
      <c r="E103" s="113"/>
      <c r="F103" s="83"/>
      <c r="G103" s="83"/>
      <c r="H103" s="153"/>
      <c r="I103" s="141"/>
      <c r="J103" s="141"/>
      <c r="K103" s="137"/>
      <c r="L103" s="137"/>
    </row>
    <row r="104" spans="1:12" x14ac:dyDescent="0.3">
      <c r="A104" s="151"/>
      <c r="B104" s="113"/>
      <c r="C104" s="113"/>
      <c r="D104" s="113"/>
      <c r="E104" s="113"/>
      <c r="H104" s="145"/>
      <c r="I104" s="121"/>
      <c r="J104" s="121"/>
      <c r="K104" s="113"/>
      <c r="L104" s="121"/>
    </row>
    <row r="105" spans="1:12" x14ac:dyDescent="0.3">
      <c r="A105" s="137"/>
      <c r="B105" s="438"/>
      <c r="C105" s="438"/>
      <c r="D105" s="438"/>
      <c r="E105" s="438"/>
      <c r="H105" s="145"/>
      <c r="I105" s="121"/>
      <c r="J105" s="121"/>
      <c r="K105" s="154"/>
      <c r="L105" s="121"/>
    </row>
    <row r="106" spans="1:12" x14ac:dyDescent="0.3">
      <c r="A106" s="155"/>
      <c r="B106" s="156"/>
      <c r="C106" s="156"/>
      <c r="D106" s="156"/>
      <c r="E106" s="156"/>
      <c r="H106" s="106"/>
      <c r="I106" s="121"/>
      <c r="J106" s="121"/>
      <c r="K106" s="113"/>
      <c r="L106" s="121"/>
    </row>
    <row r="107" spans="1:12" x14ac:dyDescent="0.3">
      <c r="A107" s="157"/>
      <c r="B107" s="113"/>
      <c r="C107" s="113"/>
      <c r="D107" s="113"/>
      <c r="E107" s="113"/>
      <c r="H107" s="145"/>
      <c r="I107" s="121"/>
      <c r="J107" s="121"/>
      <c r="K107" s="113"/>
      <c r="L107" s="121"/>
    </row>
    <row r="108" spans="1:12" x14ac:dyDescent="0.3">
      <c r="A108" s="157"/>
      <c r="B108" s="113"/>
      <c r="C108" s="113"/>
      <c r="D108" s="113"/>
      <c r="E108" s="113"/>
      <c r="H108" s="145"/>
      <c r="I108" s="121"/>
      <c r="J108" s="121"/>
      <c r="K108" s="113"/>
      <c r="L108" s="121"/>
    </row>
    <row r="109" spans="1:12" x14ac:dyDescent="0.3">
      <c r="A109" s="157"/>
      <c r="B109" s="113"/>
      <c r="C109" s="113"/>
      <c r="D109" s="113"/>
      <c r="E109" s="113"/>
      <c r="H109" s="144"/>
      <c r="I109" s="121"/>
      <c r="J109" s="121"/>
      <c r="K109" s="141"/>
      <c r="L109" s="121"/>
    </row>
    <row r="110" spans="1:12" x14ac:dyDescent="0.3">
      <c r="A110" s="157"/>
      <c r="B110" s="113"/>
      <c r="C110" s="113"/>
      <c r="D110" s="113"/>
      <c r="E110" s="113"/>
      <c r="H110" s="144"/>
      <c r="I110" s="121"/>
      <c r="J110" s="121"/>
      <c r="K110" s="121"/>
      <c r="L110" s="121"/>
    </row>
    <row r="111" spans="1:12" x14ac:dyDescent="0.3">
      <c r="A111" s="157"/>
      <c r="B111" s="113"/>
      <c r="C111" s="113"/>
      <c r="D111" s="113"/>
      <c r="E111" s="113"/>
      <c r="H111" s="144"/>
      <c r="I111" s="121"/>
      <c r="J111" s="121"/>
      <c r="K111" s="113"/>
      <c r="L111" s="121"/>
    </row>
    <row r="112" spans="1:12" ht="14.25" customHeight="1" x14ac:dyDescent="0.3">
      <c r="A112" s="157"/>
      <c r="B112" s="113"/>
      <c r="C112" s="113"/>
      <c r="D112" s="113"/>
      <c r="E112" s="113"/>
      <c r="H112" s="144"/>
      <c r="I112" s="121"/>
      <c r="J112" s="121"/>
      <c r="K112" s="121"/>
      <c r="L112" s="121"/>
    </row>
    <row r="113" spans="1:12" x14ac:dyDescent="0.3">
      <c r="A113" s="157"/>
      <c r="B113" s="113"/>
      <c r="C113" s="113"/>
      <c r="D113" s="113"/>
      <c r="E113" s="113"/>
      <c r="H113" s="144"/>
      <c r="I113" s="121"/>
      <c r="J113" s="121"/>
      <c r="K113" s="113"/>
      <c r="L113" s="121"/>
    </row>
    <row r="114" spans="1:12" x14ac:dyDescent="0.3">
      <c r="A114" s="157"/>
      <c r="B114" s="113"/>
      <c r="C114" s="113"/>
      <c r="D114" s="113"/>
      <c r="E114" s="113"/>
      <c r="H114" s="144"/>
      <c r="I114" s="121"/>
      <c r="J114" s="121"/>
      <c r="K114" s="113"/>
      <c r="L114" s="121"/>
    </row>
    <row r="115" spans="1:12" x14ac:dyDescent="0.3">
      <c r="A115" s="157"/>
      <c r="B115" s="113"/>
      <c r="C115" s="113"/>
      <c r="D115" s="113"/>
      <c r="E115" s="113"/>
      <c r="H115" s="158"/>
      <c r="K115" s="113"/>
      <c r="L115" s="121"/>
    </row>
    <row r="116" spans="1:12" x14ac:dyDescent="0.3">
      <c r="A116" s="157"/>
      <c r="B116" s="113"/>
      <c r="C116" s="113"/>
      <c r="D116" s="113"/>
      <c r="E116" s="113"/>
      <c r="H116" s="158"/>
      <c r="K116" s="159"/>
      <c r="L116" s="121"/>
    </row>
    <row r="117" spans="1:12" x14ac:dyDescent="0.3">
      <c r="A117" s="157"/>
      <c r="B117" s="113"/>
      <c r="C117" s="113"/>
      <c r="D117" s="113"/>
      <c r="E117" s="113"/>
      <c r="K117" s="159"/>
      <c r="L117" s="121"/>
    </row>
    <row r="118" spans="1:12" ht="15" customHeight="1" x14ac:dyDescent="0.3">
      <c r="A118" s="151"/>
      <c r="B118" s="121"/>
      <c r="C118" s="121"/>
      <c r="D118" s="121"/>
      <c r="E118" s="121"/>
      <c r="F118" s="438"/>
      <c r="G118" s="438"/>
      <c r="H118" s="160"/>
      <c r="I118" s="160"/>
      <c r="J118" s="160"/>
      <c r="K118" s="159"/>
      <c r="L118" s="121"/>
    </row>
    <row r="119" spans="1:12" x14ac:dyDescent="0.3">
      <c r="F119" s="156"/>
      <c r="G119" s="161"/>
      <c r="H119" s="156"/>
      <c r="I119" s="156"/>
      <c r="J119" s="156"/>
      <c r="K119" s="159"/>
      <c r="L119" s="121"/>
    </row>
    <row r="120" spans="1:12" x14ac:dyDescent="0.3">
      <c r="F120" s="113"/>
      <c r="G120" s="139"/>
      <c r="H120" s="139"/>
      <c r="I120" s="139"/>
      <c r="J120" s="139"/>
      <c r="K120" s="159"/>
      <c r="L120" s="121"/>
    </row>
    <row r="121" spans="1:12" x14ac:dyDescent="0.3">
      <c r="F121" s="113"/>
      <c r="G121" s="139"/>
      <c r="H121" s="139"/>
      <c r="I121" s="139"/>
      <c r="J121" s="139"/>
    </row>
    <row r="122" spans="1:12" x14ac:dyDescent="0.3">
      <c r="F122" s="113"/>
      <c r="G122" s="139"/>
      <c r="H122" s="139"/>
      <c r="I122" s="139"/>
      <c r="J122" s="139"/>
    </row>
    <row r="123" spans="1:12" x14ac:dyDescent="0.3">
      <c r="F123" s="113"/>
      <c r="G123" s="139"/>
      <c r="H123" s="139"/>
      <c r="I123" s="139"/>
      <c r="J123" s="139"/>
    </row>
    <row r="124" spans="1:12" x14ac:dyDescent="0.3">
      <c r="F124" s="113"/>
      <c r="G124" s="139"/>
      <c r="H124" s="139"/>
      <c r="I124" s="139"/>
      <c r="J124" s="139"/>
      <c r="K124" s="160"/>
      <c r="L124" s="160"/>
    </row>
    <row r="125" spans="1:12" x14ac:dyDescent="0.3">
      <c r="F125" s="113"/>
      <c r="G125" s="139"/>
      <c r="H125" s="139"/>
      <c r="I125" s="139"/>
      <c r="J125" s="139"/>
      <c r="K125" s="156"/>
      <c r="L125" s="156"/>
    </row>
    <row r="126" spans="1:12" x14ac:dyDescent="0.3">
      <c r="F126" s="113"/>
      <c r="G126" s="139"/>
      <c r="H126" s="139"/>
      <c r="I126" s="139"/>
      <c r="J126" s="139"/>
      <c r="K126" s="139"/>
      <c r="L126" s="139"/>
    </row>
    <row r="127" spans="1:12" x14ac:dyDescent="0.3">
      <c r="F127" s="113"/>
      <c r="G127" s="139"/>
      <c r="H127" s="139"/>
      <c r="I127" s="139"/>
      <c r="J127" s="139"/>
      <c r="K127" s="139"/>
      <c r="L127" s="139"/>
    </row>
    <row r="128" spans="1:12" x14ac:dyDescent="0.3">
      <c r="F128" s="113"/>
      <c r="G128" s="139"/>
      <c r="H128" s="139"/>
      <c r="I128" s="139"/>
      <c r="J128" s="139"/>
      <c r="K128" s="139"/>
      <c r="L128" s="139"/>
    </row>
    <row r="129" spans="2:12" x14ac:dyDescent="0.3">
      <c r="F129" s="113"/>
      <c r="G129" s="139"/>
      <c r="H129" s="139"/>
      <c r="I129" s="139"/>
      <c r="J129" s="139"/>
      <c r="K129" s="139"/>
      <c r="L129" s="139"/>
    </row>
    <row r="130" spans="2:12" x14ac:dyDescent="0.3">
      <c r="F130" s="113"/>
      <c r="G130" s="139"/>
      <c r="H130" s="139"/>
      <c r="I130" s="139"/>
      <c r="J130" s="139"/>
      <c r="K130" s="139"/>
      <c r="L130" s="139"/>
    </row>
    <row r="131" spans="2:12" x14ac:dyDescent="0.3">
      <c r="K131" s="139"/>
      <c r="L131" s="139"/>
    </row>
    <row r="132" spans="2:12" x14ac:dyDescent="0.3">
      <c r="B132" s="150"/>
      <c r="C132" s="162"/>
      <c r="D132" s="162"/>
      <c r="E132" s="162"/>
      <c r="K132" s="139"/>
      <c r="L132" s="139"/>
    </row>
    <row r="133" spans="2:12" x14ac:dyDescent="0.3">
      <c r="B133" s="151"/>
      <c r="C133" s="162"/>
      <c r="D133" s="114"/>
      <c r="E133" s="162"/>
      <c r="K133" s="139"/>
      <c r="L133" s="139"/>
    </row>
    <row r="134" spans="2:12" x14ac:dyDescent="0.3">
      <c r="B134" s="151"/>
      <c r="C134" s="162"/>
      <c r="D134" s="114"/>
      <c r="E134" s="162"/>
      <c r="K134" s="139"/>
      <c r="L134" s="139"/>
    </row>
    <row r="135" spans="2:12" x14ac:dyDescent="0.3">
      <c r="B135" s="151"/>
      <c r="C135" s="162"/>
      <c r="D135" s="114"/>
      <c r="E135" s="162"/>
      <c r="K135" s="139"/>
      <c r="L135" s="139"/>
    </row>
    <row r="136" spans="2:12" x14ac:dyDescent="0.3">
      <c r="B136" s="149"/>
      <c r="C136" s="162"/>
      <c r="D136" s="114"/>
      <c r="E136" s="162"/>
      <c r="K136" s="139"/>
      <c r="L136" s="139"/>
    </row>
    <row r="137" spans="2:12" x14ac:dyDescent="0.3">
      <c r="B137" s="151"/>
      <c r="C137" s="162"/>
      <c r="D137" s="163"/>
      <c r="E137" s="162"/>
    </row>
    <row r="138" spans="2:12" x14ac:dyDescent="0.3">
      <c r="B138" s="151"/>
      <c r="C138" s="162"/>
      <c r="D138" s="163"/>
      <c r="E138" s="162"/>
    </row>
    <row r="139" spans="2:12" x14ac:dyDescent="0.3">
      <c r="B139" s="151"/>
      <c r="C139" s="162"/>
      <c r="D139" s="163"/>
      <c r="E139" s="162"/>
    </row>
    <row r="140" spans="2:12" x14ac:dyDescent="0.3">
      <c r="B140" s="149"/>
      <c r="C140" s="162"/>
      <c r="D140" s="163"/>
      <c r="E140" s="162"/>
    </row>
    <row r="141" spans="2:12" x14ac:dyDescent="0.3">
      <c r="B141" s="151"/>
      <c r="C141" s="162"/>
      <c r="D141" s="163"/>
      <c r="E141" s="162"/>
    </row>
    <row r="142" spans="2:12" x14ac:dyDescent="0.3">
      <c r="B142" s="151"/>
      <c r="C142" s="113"/>
      <c r="D142" s="114"/>
      <c r="E142" s="113"/>
    </row>
    <row r="143" spans="2:12" x14ac:dyDescent="0.3">
      <c r="B143" s="151"/>
      <c r="C143" s="113"/>
      <c r="D143" s="114"/>
      <c r="E143" s="113"/>
    </row>
    <row r="145" spans="6:13" x14ac:dyDescent="0.3">
      <c r="F145" s="162"/>
      <c r="G145" s="162"/>
      <c r="H145" s="156"/>
      <c r="I145" s="156"/>
      <c r="M145" s="83"/>
    </row>
    <row r="146" spans="6:13" x14ac:dyDescent="0.3">
      <c r="F146" s="162"/>
      <c r="G146" s="162"/>
      <c r="H146" s="113"/>
      <c r="I146" s="113"/>
      <c r="M146" s="83"/>
    </row>
    <row r="147" spans="6:13" x14ac:dyDescent="0.3">
      <c r="F147" s="162"/>
      <c r="G147" s="162"/>
      <c r="H147" s="113"/>
      <c r="I147" s="113"/>
      <c r="M147" s="83"/>
    </row>
    <row r="148" spans="6:13" x14ac:dyDescent="0.3">
      <c r="F148" s="162"/>
      <c r="G148" s="162"/>
      <c r="H148" s="113"/>
      <c r="I148" s="113"/>
      <c r="M148" s="83"/>
    </row>
    <row r="149" spans="6:13" x14ac:dyDescent="0.3">
      <c r="F149" s="162"/>
      <c r="G149" s="162"/>
      <c r="H149" s="113"/>
      <c r="I149" s="113"/>
      <c r="M149" s="83"/>
    </row>
    <row r="150" spans="6:13" x14ac:dyDescent="0.3">
      <c r="F150" s="163"/>
      <c r="G150" s="162"/>
      <c r="H150" s="114"/>
      <c r="I150" s="113"/>
      <c r="J150" s="114"/>
      <c r="M150" s="83"/>
    </row>
    <row r="151" spans="6:13" x14ac:dyDescent="0.3">
      <c r="F151" s="163"/>
      <c r="G151" s="162"/>
      <c r="H151" s="114"/>
      <c r="I151" s="113"/>
      <c r="J151" s="114"/>
      <c r="M151" s="83"/>
    </row>
    <row r="152" spans="6:13" x14ac:dyDescent="0.3">
      <c r="F152" s="163"/>
      <c r="G152" s="162"/>
      <c r="H152" s="114"/>
      <c r="I152" s="113"/>
      <c r="J152" s="114"/>
      <c r="M152" s="83"/>
    </row>
    <row r="153" spans="6:13" x14ac:dyDescent="0.3">
      <c r="F153" s="163"/>
      <c r="G153" s="162"/>
      <c r="H153" s="114"/>
      <c r="I153" s="113"/>
      <c r="J153" s="114"/>
      <c r="M153" s="83"/>
    </row>
    <row r="154" spans="6:13" x14ac:dyDescent="0.3">
      <c r="F154" s="163"/>
      <c r="G154" s="162"/>
      <c r="H154" s="114"/>
      <c r="I154" s="113"/>
      <c r="J154" s="114"/>
      <c r="M154" s="83"/>
    </row>
    <row r="155" spans="6:13" x14ac:dyDescent="0.3">
      <c r="F155" s="114"/>
      <c r="G155" s="113"/>
      <c r="H155" s="114"/>
      <c r="I155" s="113"/>
      <c r="J155" s="114"/>
      <c r="M155" s="83"/>
    </row>
    <row r="156" spans="6:13" x14ac:dyDescent="0.3">
      <c r="F156" s="114"/>
      <c r="G156" s="113"/>
      <c r="H156" s="114"/>
      <c r="I156" s="113"/>
      <c r="J156" s="114"/>
      <c r="M156" s="83"/>
    </row>
    <row r="157" spans="6:13" x14ac:dyDescent="0.3">
      <c r="F157" s="164"/>
    </row>
  </sheetData>
  <mergeCells count="4">
    <mergeCell ref="B7:F7"/>
    <mergeCell ref="G7:L7"/>
    <mergeCell ref="B105:E105"/>
    <mergeCell ref="F118:G118"/>
  </mergeCells>
  <pageMargins left="0.25" right="0.25" top="0.75" bottom="0.75" header="0.3" footer="0.3"/>
  <pageSetup scale="65" orientation="landscape" r:id="rId1"/>
  <rowBreaks count="2" manualBreakCount="2">
    <brk id="42" max="16383" man="1"/>
    <brk id="78" max="11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35"/>
  <sheetViews>
    <sheetView workbookViewId="0">
      <selection activeCell="G25" sqref="G25"/>
    </sheetView>
  </sheetViews>
  <sheetFormatPr defaultRowHeight="12.75" x14ac:dyDescent="0.2"/>
  <cols>
    <col min="1" max="1" width="12" customWidth="1"/>
    <col min="2" max="3" width="9.7109375" customWidth="1"/>
    <col min="4" max="5" width="12" style="5" customWidth="1"/>
    <col min="6" max="6" width="10.7109375" customWidth="1"/>
    <col min="7" max="7" width="11.7109375" customWidth="1"/>
    <col min="8" max="8" width="14.140625" bestFit="1" customWidth="1"/>
    <col min="9" max="13" width="10.7109375" customWidth="1"/>
    <col min="15" max="15" width="14.140625" customWidth="1"/>
    <col min="16" max="16" width="10.28515625" bestFit="1" customWidth="1"/>
    <col min="17" max="17" width="11.140625" customWidth="1"/>
    <col min="18" max="18" width="11.7109375" customWidth="1"/>
  </cols>
  <sheetData>
    <row r="2" spans="1:23" x14ac:dyDescent="0.2">
      <c r="A2" s="1" t="s">
        <v>3</v>
      </c>
      <c r="B2" s="1"/>
      <c r="C2" s="1"/>
      <c r="D2" s="4"/>
      <c r="E2" s="4"/>
      <c r="F2" s="1"/>
      <c r="G2" s="1"/>
      <c r="K2" s="1" t="s">
        <v>25</v>
      </c>
      <c r="N2" s="1" t="s">
        <v>24</v>
      </c>
      <c r="Q2" s="1" t="s">
        <v>26</v>
      </c>
    </row>
    <row r="3" spans="1:23" x14ac:dyDescent="0.2">
      <c r="B3" s="9">
        <v>2013</v>
      </c>
      <c r="C3" s="9"/>
      <c r="D3" s="5">
        <v>2014</v>
      </c>
      <c r="J3" s="31" t="s">
        <v>21</v>
      </c>
      <c r="K3" s="31" t="s">
        <v>22</v>
      </c>
      <c r="L3" s="31" t="s">
        <v>23</v>
      </c>
      <c r="M3" s="19" t="s">
        <v>21</v>
      </c>
      <c r="N3" s="19" t="s">
        <v>22</v>
      </c>
      <c r="O3" s="19" t="s">
        <v>23</v>
      </c>
      <c r="P3" s="22" t="s">
        <v>21</v>
      </c>
      <c r="Q3" s="22" t="s">
        <v>22</v>
      </c>
      <c r="R3" s="22" t="s">
        <v>23</v>
      </c>
      <c r="U3">
        <v>50</v>
      </c>
      <c r="V3">
        <v>75</v>
      </c>
      <c r="W3" s="17">
        <f>(75-50)/50</f>
        <v>0.5</v>
      </c>
    </row>
    <row r="4" spans="1:23" x14ac:dyDescent="0.2">
      <c r="A4" s="2" t="s">
        <v>1</v>
      </c>
      <c r="B4" s="10"/>
      <c r="C4" s="10"/>
      <c r="D4" s="3" t="s">
        <v>14</v>
      </c>
      <c r="E4" s="3"/>
      <c r="F4" s="2" t="s">
        <v>15</v>
      </c>
      <c r="G4" s="2" t="s">
        <v>16</v>
      </c>
      <c r="H4" s="14" t="s">
        <v>10</v>
      </c>
      <c r="I4" s="12" t="s">
        <v>18</v>
      </c>
      <c r="J4" s="32"/>
      <c r="K4" s="32"/>
      <c r="L4" s="32"/>
      <c r="M4" s="20"/>
      <c r="N4" s="20"/>
      <c r="O4" s="20"/>
      <c r="P4" s="23"/>
      <c r="Q4" s="23"/>
      <c r="R4" s="23"/>
    </row>
    <row r="5" spans="1:23" x14ac:dyDescent="0.2">
      <c r="A5" s="1" t="s">
        <v>4</v>
      </c>
      <c r="B5" s="9">
        <v>31</v>
      </c>
      <c r="C5" s="9"/>
      <c r="D5" s="4">
        <v>43</v>
      </c>
      <c r="E5" s="4"/>
      <c r="F5" s="1"/>
      <c r="G5" s="1"/>
      <c r="H5" s="15">
        <v>552.14</v>
      </c>
      <c r="I5" s="12">
        <f>H5</f>
        <v>552.14</v>
      </c>
      <c r="J5" s="32">
        <v>54.42</v>
      </c>
      <c r="K5" s="32">
        <v>59.48</v>
      </c>
      <c r="L5" s="32">
        <v>66.91</v>
      </c>
      <c r="M5" s="21">
        <f t="shared" ref="M5:O8" si="0">(J5*26)/12</f>
        <v>117.91000000000001</v>
      </c>
      <c r="N5" s="21">
        <f t="shared" si="0"/>
        <v>128.87333333333333</v>
      </c>
      <c r="O5" s="21">
        <f t="shared" si="0"/>
        <v>144.97166666666666</v>
      </c>
      <c r="P5" s="24">
        <f>$I$5-M5</f>
        <v>434.22999999999996</v>
      </c>
      <c r="Q5" s="24">
        <f>$I$5-N5</f>
        <v>423.26666666666665</v>
      </c>
      <c r="R5" s="24">
        <f>$I$5-O5</f>
        <v>407.16833333333329</v>
      </c>
      <c r="T5" s="1" t="s">
        <v>28</v>
      </c>
    </row>
    <row r="6" spans="1:23" x14ac:dyDescent="0.2">
      <c r="A6" s="1" t="s">
        <v>6</v>
      </c>
      <c r="B6" s="9">
        <v>17</v>
      </c>
      <c r="C6" s="9"/>
      <c r="D6" s="4">
        <v>22</v>
      </c>
      <c r="E6" s="29" t="s">
        <v>30</v>
      </c>
      <c r="F6" s="1"/>
      <c r="G6" s="1"/>
      <c r="H6" s="15">
        <v>1104.5</v>
      </c>
      <c r="I6" s="12">
        <f>H6</f>
        <v>1104.5</v>
      </c>
      <c r="J6" s="32">
        <v>103.4</v>
      </c>
      <c r="K6" s="32">
        <v>113</v>
      </c>
      <c r="L6" s="32">
        <v>127.13</v>
      </c>
      <c r="M6" s="21">
        <f t="shared" si="0"/>
        <v>224.03333333333333</v>
      </c>
      <c r="N6" s="21">
        <f t="shared" si="0"/>
        <v>244.83333333333334</v>
      </c>
      <c r="O6" s="21">
        <f t="shared" si="0"/>
        <v>275.44833333333332</v>
      </c>
      <c r="P6" s="24">
        <f>$I$6-M6</f>
        <v>880.4666666666667</v>
      </c>
      <c r="Q6" s="24">
        <f>$I$6-N6</f>
        <v>859.66666666666663</v>
      </c>
      <c r="R6" s="24">
        <f>$I$6-O6</f>
        <v>829.05166666666673</v>
      </c>
    </row>
    <row r="7" spans="1:23" x14ac:dyDescent="0.2">
      <c r="A7" s="1" t="s">
        <v>13</v>
      </c>
      <c r="B7" s="9"/>
      <c r="C7" s="9"/>
      <c r="D7" s="4">
        <v>3</v>
      </c>
      <c r="E7" s="4"/>
      <c r="F7" s="1"/>
      <c r="G7" s="1"/>
      <c r="H7" s="15">
        <v>1070.68</v>
      </c>
      <c r="I7" s="12">
        <f>H7</f>
        <v>1070.68</v>
      </c>
      <c r="J7" s="32">
        <v>100.68</v>
      </c>
      <c r="K7" s="32">
        <v>110.03</v>
      </c>
      <c r="L7" s="32">
        <v>123.78</v>
      </c>
      <c r="M7" s="21">
        <f t="shared" si="0"/>
        <v>218.14000000000001</v>
      </c>
      <c r="N7" s="21">
        <f t="shared" si="0"/>
        <v>238.39833333333334</v>
      </c>
      <c r="O7" s="21">
        <f t="shared" si="0"/>
        <v>268.19</v>
      </c>
      <c r="P7" s="24">
        <f>$I$7-M7</f>
        <v>852.54000000000008</v>
      </c>
      <c r="Q7" s="24">
        <f>$I$7-N7</f>
        <v>832.28166666666675</v>
      </c>
      <c r="R7" s="24">
        <f>$I$7-O7</f>
        <v>802.49</v>
      </c>
    </row>
    <row r="8" spans="1:23" x14ac:dyDescent="0.2">
      <c r="A8" s="1" t="s">
        <v>5</v>
      </c>
      <c r="B8" s="9">
        <v>28</v>
      </c>
      <c r="C8" s="9"/>
      <c r="D8" s="4">
        <v>35</v>
      </c>
      <c r="E8" s="4"/>
      <c r="F8" s="1"/>
      <c r="G8" s="1"/>
      <c r="H8" s="15">
        <v>1642.48</v>
      </c>
      <c r="I8" s="12">
        <f>H8</f>
        <v>1642.48</v>
      </c>
      <c r="J8" s="32">
        <v>149.66</v>
      </c>
      <c r="K8" s="32">
        <v>163.56</v>
      </c>
      <c r="L8" s="32">
        <v>184</v>
      </c>
      <c r="M8" s="21">
        <f t="shared" si="0"/>
        <v>324.26333333333332</v>
      </c>
      <c r="N8" s="21">
        <f t="shared" si="0"/>
        <v>354.38000000000005</v>
      </c>
      <c r="O8" s="21">
        <f t="shared" si="0"/>
        <v>398.66666666666669</v>
      </c>
      <c r="P8" s="24">
        <f>$I$8-M8</f>
        <v>1318.2166666666667</v>
      </c>
      <c r="Q8" s="24">
        <f>$I$8-N8</f>
        <v>1288.0999999999999</v>
      </c>
      <c r="R8" s="24">
        <f>$I$8-O8</f>
        <v>1243.8133333333333</v>
      </c>
      <c r="T8" s="1" t="s">
        <v>27</v>
      </c>
    </row>
    <row r="9" spans="1:23" x14ac:dyDescent="0.2">
      <c r="A9" s="1"/>
      <c r="B9" s="11">
        <f>SUM(B5:B8)</f>
        <v>76</v>
      </c>
      <c r="C9" s="25">
        <f>B9/B25</f>
        <v>0.37073170731707317</v>
      </c>
      <c r="D9" s="3">
        <f>SUM(D5:D8)</f>
        <v>103</v>
      </c>
      <c r="E9" s="26">
        <f>D9/D25</f>
        <v>0.49047619047619045</v>
      </c>
      <c r="F9" s="1"/>
      <c r="G9" s="1"/>
      <c r="H9" s="15"/>
      <c r="I9" s="12"/>
      <c r="J9" s="32"/>
      <c r="K9" s="32"/>
      <c r="L9" s="32"/>
      <c r="M9" s="21"/>
      <c r="N9" s="21"/>
      <c r="O9" s="21"/>
      <c r="P9" s="24"/>
      <c r="Q9" s="24"/>
      <c r="R9" s="24"/>
    </row>
    <row r="10" spans="1:23" x14ac:dyDescent="0.2">
      <c r="B10" s="9"/>
      <c r="C10" s="9"/>
      <c r="E10" s="27"/>
      <c r="H10" s="15"/>
      <c r="I10" s="12"/>
      <c r="J10" s="32"/>
      <c r="K10" s="32"/>
      <c r="L10" s="32"/>
      <c r="M10" s="21"/>
      <c r="N10" s="21"/>
      <c r="O10" s="21"/>
      <c r="P10" s="24"/>
      <c r="Q10" s="24"/>
      <c r="R10" s="24"/>
    </row>
    <row r="11" spans="1:23" x14ac:dyDescent="0.2">
      <c r="A11" s="2" t="s">
        <v>11</v>
      </c>
      <c r="B11" s="11"/>
      <c r="C11" s="11"/>
      <c r="D11" s="3"/>
      <c r="E11" s="26"/>
      <c r="F11" s="2"/>
      <c r="G11" s="2"/>
      <c r="H11" s="15"/>
      <c r="I11" s="12"/>
      <c r="J11" s="32"/>
      <c r="K11" s="32"/>
      <c r="L11" s="32"/>
      <c r="M11" s="21"/>
      <c r="N11" s="21"/>
      <c r="O11" s="21"/>
      <c r="P11" s="24"/>
      <c r="Q11" s="24"/>
      <c r="R11" s="24"/>
    </row>
    <row r="12" spans="1:23" x14ac:dyDescent="0.2">
      <c r="A12" s="1" t="s">
        <v>4</v>
      </c>
      <c r="B12" s="9">
        <v>21</v>
      </c>
      <c r="C12" s="9"/>
      <c r="D12" s="4">
        <v>16</v>
      </c>
      <c r="E12" s="28"/>
      <c r="F12" s="6">
        <v>250</v>
      </c>
      <c r="G12" s="6">
        <f>D12*F12</f>
        <v>4000</v>
      </c>
      <c r="H12" s="15">
        <v>496.37</v>
      </c>
      <c r="I12" s="13">
        <f>H12+(F12/12)</f>
        <v>517.20333333333338</v>
      </c>
      <c r="J12" s="33">
        <v>40.92</v>
      </c>
      <c r="K12" s="33">
        <v>44.72</v>
      </c>
      <c r="L12" s="33">
        <v>50.31</v>
      </c>
      <c r="M12" s="21">
        <f t="shared" ref="M12:O15" si="1">(J12*26)/12</f>
        <v>88.660000000000011</v>
      </c>
      <c r="N12" s="21">
        <f t="shared" si="1"/>
        <v>96.893333333333331</v>
      </c>
      <c r="O12" s="21">
        <f t="shared" si="1"/>
        <v>109.005</v>
      </c>
      <c r="P12" s="24">
        <f>$I$12-M12</f>
        <v>428.54333333333335</v>
      </c>
      <c r="Q12" s="24">
        <f>$I$12-N12</f>
        <v>420.31000000000006</v>
      </c>
      <c r="R12" s="24">
        <f>$I$12-O12</f>
        <v>408.19833333333338</v>
      </c>
    </row>
    <row r="13" spans="1:23" x14ac:dyDescent="0.2">
      <c r="A13" s="1" t="s">
        <v>6</v>
      </c>
      <c r="B13" s="9">
        <v>21</v>
      </c>
      <c r="C13" s="9"/>
      <c r="D13" s="4">
        <v>13</v>
      </c>
      <c r="E13" s="28"/>
      <c r="F13" s="6">
        <v>500</v>
      </c>
      <c r="G13" s="6">
        <f>D13*F13</f>
        <v>6500</v>
      </c>
      <c r="H13" s="15">
        <v>912.39</v>
      </c>
      <c r="I13" s="13">
        <f>H13+(F13/12)</f>
        <v>954.05666666666662</v>
      </c>
      <c r="J13" s="33">
        <v>77.75</v>
      </c>
      <c r="K13" s="33">
        <v>84.97</v>
      </c>
      <c r="L13" s="33">
        <v>95.59</v>
      </c>
      <c r="M13" s="21">
        <f t="shared" si="1"/>
        <v>168.45833333333334</v>
      </c>
      <c r="N13" s="21">
        <f t="shared" si="1"/>
        <v>184.10166666666666</v>
      </c>
      <c r="O13" s="21">
        <f t="shared" si="1"/>
        <v>207.11166666666668</v>
      </c>
      <c r="P13" s="24">
        <f>$I$13-M13</f>
        <v>785.59833333333324</v>
      </c>
      <c r="Q13" s="24">
        <f>$I$13-N13</f>
        <v>769.95499999999993</v>
      </c>
      <c r="R13" s="24">
        <f>$I$13-O13</f>
        <v>746.94499999999994</v>
      </c>
    </row>
    <row r="14" spans="1:23" x14ac:dyDescent="0.2">
      <c r="A14" s="1" t="s">
        <v>13</v>
      </c>
      <c r="B14" s="9"/>
      <c r="C14" s="9"/>
      <c r="D14" s="4">
        <v>4</v>
      </c>
      <c r="E14" s="28"/>
      <c r="F14" s="6">
        <v>500</v>
      </c>
      <c r="G14" s="6">
        <f>D14*F14</f>
        <v>2000</v>
      </c>
      <c r="H14" s="15">
        <v>678.2</v>
      </c>
      <c r="I14" s="13">
        <f>H14+(F14/12)</f>
        <v>719.86666666666667</v>
      </c>
      <c r="J14" s="33">
        <v>75.7</v>
      </c>
      <c r="K14" s="33">
        <v>82.73</v>
      </c>
      <c r="L14" s="33">
        <v>93.07</v>
      </c>
      <c r="M14" s="21">
        <f t="shared" si="1"/>
        <v>164.01666666666668</v>
      </c>
      <c r="N14" s="21">
        <f t="shared" si="1"/>
        <v>179.24833333333333</v>
      </c>
      <c r="O14" s="21">
        <f t="shared" si="1"/>
        <v>201.65166666666664</v>
      </c>
      <c r="P14" s="24">
        <f>$I$14-M14</f>
        <v>555.85</v>
      </c>
      <c r="Q14" s="24">
        <f>$I$14-N14</f>
        <v>540.61833333333334</v>
      </c>
      <c r="R14" s="24">
        <f>$I$14-O14</f>
        <v>518.21500000000003</v>
      </c>
    </row>
    <row r="15" spans="1:23" x14ac:dyDescent="0.2">
      <c r="A15" s="1" t="s">
        <v>7</v>
      </c>
      <c r="B15" s="9">
        <v>21</v>
      </c>
      <c r="C15" s="9"/>
      <c r="D15" s="4">
        <v>7</v>
      </c>
      <c r="E15" s="28"/>
      <c r="F15" s="6">
        <v>500</v>
      </c>
      <c r="G15" s="6">
        <f>D15*F15</f>
        <v>3500</v>
      </c>
      <c r="H15" s="15">
        <v>1346.79</v>
      </c>
      <c r="I15" s="13">
        <f>H15+(F15/12)</f>
        <v>1388.4566666666667</v>
      </c>
      <c r="J15" s="33">
        <v>112.53</v>
      </c>
      <c r="K15" s="33">
        <v>122.98</v>
      </c>
      <c r="L15" s="33">
        <v>138.35</v>
      </c>
      <c r="M15" s="21">
        <f t="shared" si="1"/>
        <v>243.81500000000003</v>
      </c>
      <c r="N15" s="21">
        <f t="shared" si="1"/>
        <v>266.45666666666665</v>
      </c>
      <c r="O15" s="21">
        <f t="shared" si="1"/>
        <v>299.75833333333333</v>
      </c>
      <c r="P15" s="24">
        <f>$I$15-M15</f>
        <v>1144.6416666666667</v>
      </c>
      <c r="Q15" s="24">
        <f>$I$15-N15</f>
        <v>1122</v>
      </c>
      <c r="R15" s="24">
        <f>$I$15-O15</f>
        <v>1088.6983333333333</v>
      </c>
    </row>
    <row r="16" spans="1:23" x14ac:dyDescent="0.2">
      <c r="A16" s="1"/>
      <c r="B16" s="11">
        <f>SUM(B12:B15)</f>
        <v>63</v>
      </c>
      <c r="C16" s="25">
        <f>B16/B25</f>
        <v>0.3073170731707317</v>
      </c>
      <c r="D16" s="3">
        <f>SUM(D12:D15)</f>
        <v>40</v>
      </c>
      <c r="E16" s="26">
        <f>D16/D25</f>
        <v>0.19047619047619047</v>
      </c>
      <c r="F16" s="6"/>
      <c r="G16" s="6"/>
      <c r="H16" s="15"/>
      <c r="I16" s="12"/>
      <c r="J16" s="32"/>
      <c r="K16" s="32"/>
      <c r="L16" s="32"/>
      <c r="M16" s="21"/>
      <c r="N16" s="21"/>
      <c r="O16" s="21"/>
      <c r="P16" s="24"/>
      <c r="Q16" s="24"/>
      <c r="R16" s="24"/>
    </row>
    <row r="17" spans="1:20" x14ac:dyDescent="0.2">
      <c r="B17" s="9"/>
      <c r="C17" s="9"/>
      <c r="E17" s="27"/>
      <c r="F17" s="7"/>
      <c r="G17" s="7"/>
      <c r="H17" s="15"/>
      <c r="I17" s="12"/>
      <c r="J17" s="32"/>
      <c r="K17" s="32"/>
      <c r="L17" s="32"/>
      <c r="M17" s="21"/>
      <c r="N17" s="21"/>
      <c r="O17" s="21"/>
      <c r="P17" s="24"/>
      <c r="Q17" s="24"/>
      <c r="R17" s="24"/>
    </row>
    <row r="18" spans="1:20" x14ac:dyDescent="0.2">
      <c r="A18" s="2" t="s">
        <v>12</v>
      </c>
      <c r="B18" s="11"/>
      <c r="C18" s="11"/>
      <c r="D18" s="3"/>
      <c r="E18" s="26"/>
      <c r="F18" s="8"/>
      <c r="G18" s="8"/>
      <c r="H18" s="15"/>
      <c r="I18" s="12"/>
      <c r="J18" s="32"/>
      <c r="K18" s="32"/>
      <c r="L18" s="32"/>
      <c r="M18" s="21"/>
      <c r="N18" s="21"/>
      <c r="O18" s="21"/>
      <c r="P18" s="24"/>
      <c r="Q18" s="24"/>
      <c r="R18" s="24"/>
    </row>
    <row r="19" spans="1:20" x14ac:dyDescent="0.2">
      <c r="A19" s="1" t="s">
        <v>4</v>
      </c>
      <c r="B19" s="9">
        <v>39</v>
      </c>
      <c r="C19" s="9"/>
      <c r="D19" s="4">
        <v>37</v>
      </c>
      <c r="E19" s="28"/>
      <c r="F19" s="6">
        <v>750</v>
      </c>
      <c r="G19" s="6">
        <f>D19*F19</f>
        <v>27750</v>
      </c>
      <c r="H19" s="15">
        <v>442.08</v>
      </c>
      <c r="I19" s="13">
        <f>H19+(F19/12)</f>
        <v>504.58</v>
      </c>
      <c r="J19" s="33">
        <v>28.82</v>
      </c>
      <c r="K19" s="33">
        <v>31.5</v>
      </c>
      <c r="L19" s="33">
        <v>35.44</v>
      </c>
      <c r="M19" s="21">
        <f t="shared" ref="M19:O22" si="2">(J19*26)/12</f>
        <v>62.443333333333335</v>
      </c>
      <c r="N19" s="21">
        <f t="shared" si="2"/>
        <v>68.25</v>
      </c>
      <c r="O19" s="21">
        <f t="shared" si="2"/>
        <v>76.786666666666662</v>
      </c>
      <c r="P19" s="24">
        <f>$I$19-M19</f>
        <v>442.13666666666666</v>
      </c>
      <c r="Q19" s="24">
        <f>$I$19-N19</f>
        <v>436.33</v>
      </c>
      <c r="R19" s="24">
        <f>$I$19-O19</f>
        <v>427.79333333333329</v>
      </c>
      <c r="T19" s="1" t="s">
        <v>29</v>
      </c>
    </row>
    <row r="20" spans="1:20" x14ac:dyDescent="0.2">
      <c r="A20" s="1" t="s">
        <v>6</v>
      </c>
      <c r="B20" s="9">
        <v>8</v>
      </c>
      <c r="C20" s="9"/>
      <c r="D20" s="4">
        <v>10</v>
      </c>
      <c r="E20" s="28"/>
      <c r="F20" s="6">
        <v>1500</v>
      </c>
      <c r="G20" s="6">
        <f>D20*F20</f>
        <v>15000</v>
      </c>
      <c r="H20" s="15">
        <v>780.73</v>
      </c>
      <c r="I20" s="13">
        <f>H20+(F20/12)</f>
        <v>905.73</v>
      </c>
      <c r="J20" s="33">
        <v>54.77</v>
      </c>
      <c r="K20" s="33">
        <v>59.85</v>
      </c>
      <c r="L20" s="33">
        <v>67.34</v>
      </c>
      <c r="M20" s="21">
        <f t="shared" si="2"/>
        <v>118.66833333333334</v>
      </c>
      <c r="N20" s="21">
        <f t="shared" si="2"/>
        <v>129.67500000000001</v>
      </c>
      <c r="O20" s="21">
        <f t="shared" si="2"/>
        <v>145.90333333333334</v>
      </c>
      <c r="P20" s="24">
        <f>$I$20-M20</f>
        <v>787.06166666666672</v>
      </c>
      <c r="Q20" s="24">
        <f>$I$20-N20</f>
        <v>776.05500000000006</v>
      </c>
      <c r="R20" s="24">
        <f>$I$20-O20</f>
        <v>759.82666666666671</v>
      </c>
    </row>
    <row r="21" spans="1:20" x14ac:dyDescent="0.2">
      <c r="A21" s="1" t="s">
        <v>13</v>
      </c>
      <c r="B21" s="9"/>
      <c r="C21" s="9"/>
      <c r="D21" s="4">
        <v>2</v>
      </c>
      <c r="E21" s="28"/>
      <c r="F21" s="6">
        <v>1500</v>
      </c>
      <c r="G21" s="6">
        <f>D21*F21</f>
        <v>3000</v>
      </c>
      <c r="H21" s="15">
        <v>580.44000000000005</v>
      </c>
      <c r="I21" s="13">
        <f>H21+(F21/12)</f>
        <v>705.44</v>
      </c>
      <c r="J21" s="33">
        <v>53.33</v>
      </c>
      <c r="K21" s="33">
        <v>58.28</v>
      </c>
      <c r="L21" s="33">
        <v>65.56</v>
      </c>
      <c r="M21" s="21">
        <f t="shared" si="2"/>
        <v>115.54833333333333</v>
      </c>
      <c r="N21" s="21">
        <f t="shared" si="2"/>
        <v>126.27333333333333</v>
      </c>
      <c r="O21" s="21">
        <f t="shared" si="2"/>
        <v>142.04666666666665</v>
      </c>
      <c r="P21" s="24">
        <f>$I$21-M21</f>
        <v>589.89166666666677</v>
      </c>
      <c r="Q21" s="24">
        <f>$I$21-N21</f>
        <v>579.16666666666674</v>
      </c>
      <c r="R21" s="24">
        <f>$I$21-O21</f>
        <v>563.39333333333343</v>
      </c>
    </row>
    <row r="22" spans="1:20" x14ac:dyDescent="0.2">
      <c r="A22" s="1" t="s">
        <v>8</v>
      </c>
      <c r="B22" s="9">
        <v>19</v>
      </c>
      <c r="C22" s="9"/>
      <c r="D22" s="4">
        <v>18</v>
      </c>
      <c r="E22" s="28"/>
      <c r="F22" s="6">
        <v>1500</v>
      </c>
      <c r="G22" s="6">
        <f>D22*F22</f>
        <v>27000</v>
      </c>
      <c r="H22" s="15">
        <v>1151.51</v>
      </c>
      <c r="I22" s="13">
        <f>H22+(F22/12)</f>
        <v>1276.51</v>
      </c>
      <c r="J22" s="33">
        <v>79.27</v>
      </c>
      <c r="K22" s="33">
        <v>86.63</v>
      </c>
      <c r="L22" s="33">
        <v>97.46</v>
      </c>
      <c r="M22" s="21">
        <f t="shared" si="2"/>
        <v>171.75166666666667</v>
      </c>
      <c r="N22" s="21">
        <f t="shared" si="2"/>
        <v>187.69833333333335</v>
      </c>
      <c r="O22" s="21">
        <f t="shared" si="2"/>
        <v>211.16333333333333</v>
      </c>
      <c r="P22" s="24">
        <f>$I$22-M22</f>
        <v>1104.7583333333332</v>
      </c>
      <c r="Q22" s="24">
        <f>$I$22-N22</f>
        <v>1088.8116666666667</v>
      </c>
      <c r="R22" s="24">
        <f>$I$22-O22</f>
        <v>1065.3466666666666</v>
      </c>
    </row>
    <row r="23" spans="1:20" x14ac:dyDescent="0.2">
      <c r="A23" s="1"/>
      <c r="B23" s="11">
        <f>SUM(B19:B22)</f>
        <v>66</v>
      </c>
      <c r="C23" s="25">
        <f>B23/B25</f>
        <v>0.32195121951219513</v>
      </c>
      <c r="D23" s="3">
        <f>SUM(D19:D22)</f>
        <v>67</v>
      </c>
      <c r="E23" s="26">
        <f>D23/D25</f>
        <v>0.31904761904761902</v>
      </c>
      <c r="F23" s="6"/>
      <c r="G23" s="6"/>
      <c r="O23" s="3"/>
      <c r="Q23" s="18"/>
    </row>
    <row r="24" spans="1:20" x14ac:dyDescent="0.2">
      <c r="A24" s="1"/>
      <c r="B24" s="1"/>
      <c r="C24" s="1"/>
      <c r="D24" s="4"/>
      <c r="E24" s="4"/>
      <c r="F24" s="6"/>
      <c r="G24" s="6"/>
    </row>
    <row r="25" spans="1:20" x14ac:dyDescent="0.2">
      <c r="A25" s="1" t="s">
        <v>17</v>
      </c>
      <c r="B25" s="4">
        <f>B9+B16+B23</f>
        <v>205</v>
      </c>
      <c r="C25" s="4"/>
      <c r="D25" s="4">
        <f>D9+D16+D23</f>
        <v>210</v>
      </c>
      <c r="E25" s="4"/>
      <c r="F25" s="6"/>
      <c r="G25" s="6">
        <f>SUM(G12:G22)</f>
        <v>88750</v>
      </c>
      <c r="O25" s="16"/>
      <c r="Q25" s="18"/>
    </row>
    <row r="27" spans="1:20" x14ac:dyDescent="0.2">
      <c r="A27" s="2" t="s">
        <v>9</v>
      </c>
      <c r="B27" s="2"/>
      <c r="C27" s="2"/>
      <c r="D27" s="3"/>
      <c r="E27" s="3"/>
      <c r="F27" s="2"/>
      <c r="G27" s="2"/>
    </row>
    <row r="28" spans="1:20" x14ac:dyDescent="0.2">
      <c r="A28" s="1" t="s">
        <v>4</v>
      </c>
      <c r="B28" s="1"/>
      <c r="C28" s="1"/>
      <c r="D28" s="4"/>
      <c r="E28" s="4"/>
      <c r="F28" s="1"/>
      <c r="G28" s="1"/>
    </row>
    <row r="29" spans="1:20" x14ac:dyDescent="0.2">
      <c r="A29" s="1" t="s">
        <v>6</v>
      </c>
      <c r="B29" s="1"/>
      <c r="C29" s="1"/>
      <c r="D29" s="4"/>
      <c r="E29" s="4"/>
      <c r="F29" s="1"/>
      <c r="G29" s="1"/>
    </row>
    <row r="30" spans="1:20" x14ac:dyDescent="0.2">
      <c r="A30" s="1" t="s">
        <v>8</v>
      </c>
      <c r="B30" s="1"/>
      <c r="C30" s="1"/>
      <c r="D30" s="4"/>
      <c r="E30" s="4"/>
      <c r="F30" s="1"/>
      <c r="G30" s="1"/>
    </row>
    <row r="32" spans="1:20" x14ac:dyDescent="0.2">
      <c r="A32" s="2" t="s">
        <v>2</v>
      </c>
      <c r="B32" s="2"/>
      <c r="C32" s="2"/>
      <c r="D32" s="3"/>
      <c r="E32" s="3"/>
      <c r="F32" s="2"/>
      <c r="G32" s="2"/>
    </row>
    <row r="33" spans="1:7" x14ac:dyDescent="0.2">
      <c r="A33" s="1" t="s">
        <v>4</v>
      </c>
      <c r="B33" s="1"/>
      <c r="C33" s="1"/>
      <c r="D33" s="4"/>
      <c r="E33" s="4"/>
      <c r="F33" s="1"/>
      <c r="G33" s="1"/>
    </row>
    <row r="34" spans="1:7" x14ac:dyDescent="0.2">
      <c r="A34" s="1" t="s">
        <v>6</v>
      </c>
      <c r="B34" s="1"/>
      <c r="C34" s="1"/>
      <c r="D34" s="4"/>
      <c r="E34" s="4"/>
      <c r="F34" s="1"/>
      <c r="G34" s="1"/>
    </row>
    <row r="35" spans="1:7" x14ac:dyDescent="0.2">
      <c r="A35" s="1" t="s">
        <v>8</v>
      </c>
      <c r="B35" s="1"/>
      <c r="C35" s="1"/>
      <c r="D35" s="4"/>
      <c r="E35" s="4"/>
      <c r="F35" s="1"/>
      <c r="G35" s="1"/>
    </row>
  </sheetData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5"/>
  <sheetViews>
    <sheetView topLeftCell="B1" workbookViewId="0">
      <selection activeCell="R32" sqref="R32"/>
    </sheetView>
  </sheetViews>
  <sheetFormatPr defaultRowHeight="12.75" x14ac:dyDescent="0.2"/>
  <cols>
    <col min="1" max="1" width="12" customWidth="1"/>
    <col min="2" max="2" width="9.7109375" customWidth="1"/>
    <col min="3" max="3" width="12" style="5" customWidth="1"/>
    <col min="4" max="4" width="10.7109375" customWidth="1"/>
    <col min="5" max="5" width="11.7109375" customWidth="1"/>
    <col min="6" max="6" width="14.140625" bestFit="1" customWidth="1"/>
    <col min="7" max="7" width="15.42578125" customWidth="1"/>
    <col min="8" max="8" width="18.42578125" customWidth="1"/>
    <col min="9" max="9" width="16.5703125" customWidth="1"/>
    <col min="13" max="19" width="15.7109375" customWidth="1"/>
    <col min="20" max="20" width="20.140625" customWidth="1"/>
    <col min="21" max="21" width="15.7109375" customWidth="1"/>
  </cols>
  <sheetData>
    <row r="1" spans="1:20" x14ac:dyDescent="0.2">
      <c r="A1" s="69">
        <v>2014</v>
      </c>
      <c r="B1" s="34"/>
      <c r="C1" s="35"/>
      <c r="D1" s="34"/>
      <c r="E1" s="34"/>
      <c r="F1" s="34"/>
      <c r="G1" s="34"/>
      <c r="H1" s="34"/>
      <c r="I1" s="34"/>
      <c r="J1" s="34"/>
      <c r="K1" s="34"/>
      <c r="L1" s="36"/>
      <c r="M1" s="69">
        <v>2013</v>
      </c>
      <c r="N1" s="34"/>
      <c r="O1" s="34"/>
      <c r="P1" s="34"/>
      <c r="Q1" s="34"/>
      <c r="R1" s="34"/>
      <c r="S1" s="34"/>
      <c r="T1" s="36"/>
    </row>
    <row r="2" spans="1:20" x14ac:dyDescent="0.2">
      <c r="A2" s="37" t="s">
        <v>3</v>
      </c>
      <c r="B2" s="38"/>
      <c r="C2" s="39"/>
      <c r="D2" s="38"/>
      <c r="E2" s="38"/>
      <c r="F2" s="40"/>
      <c r="G2" s="40"/>
      <c r="H2" s="40"/>
      <c r="I2" s="40"/>
      <c r="J2" s="40"/>
      <c r="K2" s="40"/>
      <c r="L2" s="41"/>
      <c r="M2" s="37" t="s">
        <v>3</v>
      </c>
      <c r="N2" s="38"/>
      <c r="O2" s="38"/>
      <c r="P2" s="38"/>
      <c r="Q2" s="40"/>
      <c r="R2" s="40"/>
      <c r="S2" s="40"/>
      <c r="T2" s="41"/>
    </row>
    <row r="3" spans="1:20" x14ac:dyDescent="0.2">
      <c r="A3" s="42"/>
      <c r="B3" s="43">
        <v>2013</v>
      </c>
      <c r="C3" s="44">
        <v>2014</v>
      </c>
      <c r="D3" s="40"/>
      <c r="E3" s="40"/>
      <c r="F3" s="40"/>
      <c r="G3" s="40"/>
      <c r="H3" s="40"/>
      <c r="I3" s="40"/>
      <c r="J3" s="45" t="s">
        <v>20</v>
      </c>
      <c r="K3" s="40"/>
      <c r="L3" s="41"/>
      <c r="M3" s="42"/>
      <c r="N3" s="43">
        <v>2013</v>
      </c>
      <c r="O3" s="40"/>
      <c r="P3" s="40"/>
      <c r="Q3" s="40"/>
      <c r="R3" s="40"/>
      <c r="S3" s="40"/>
      <c r="T3" s="65"/>
    </row>
    <row r="4" spans="1:20" x14ac:dyDescent="0.2">
      <c r="A4" s="46" t="s">
        <v>1</v>
      </c>
      <c r="B4" s="47"/>
      <c r="C4" s="70" t="s">
        <v>14</v>
      </c>
      <c r="D4" s="70" t="s">
        <v>15</v>
      </c>
      <c r="E4" s="70" t="s">
        <v>16</v>
      </c>
      <c r="F4" s="49" t="s">
        <v>10</v>
      </c>
      <c r="G4" s="50" t="s">
        <v>18</v>
      </c>
      <c r="H4" s="40" t="s">
        <v>19</v>
      </c>
      <c r="I4" s="38" t="s">
        <v>31</v>
      </c>
      <c r="J4" s="40"/>
      <c r="K4" s="40"/>
      <c r="L4" s="41"/>
      <c r="M4" s="46" t="s">
        <v>1</v>
      </c>
      <c r="N4" s="47"/>
      <c r="O4" s="70" t="s">
        <v>15</v>
      </c>
      <c r="P4" s="70" t="s">
        <v>16</v>
      </c>
      <c r="Q4" s="49" t="s">
        <v>10</v>
      </c>
      <c r="R4" s="50" t="s">
        <v>18</v>
      </c>
      <c r="S4" s="40"/>
      <c r="T4" s="41"/>
    </row>
    <row r="5" spans="1:20" x14ac:dyDescent="0.2">
      <c r="A5" s="37" t="s">
        <v>4</v>
      </c>
      <c r="B5" s="43">
        <v>31</v>
      </c>
      <c r="C5" s="39">
        <v>43</v>
      </c>
      <c r="D5" s="38"/>
      <c r="E5" s="38"/>
      <c r="F5" s="51">
        <v>552.14</v>
      </c>
      <c r="G5" s="52">
        <f>+F5</f>
        <v>552.14</v>
      </c>
      <c r="H5" s="40">
        <f>C5*F5</f>
        <v>23742.02</v>
      </c>
      <c r="I5" s="40">
        <f>+H5</f>
        <v>23742.02</v>
      </c>
      <c r="J5" s="53">
        <f>(C5-B5)/B5</f>
        <v>0.38709677419354838</v>
      </c>
      <c r="K5" s="40"/>
      <c r="L5" s="41"/>
      <c r="M5" s="37" t="s">
        <v>4</v>
      </c>
      <c r="N5" s="43">
        <v>31</v>
      </c>
      <c r="O5" s="38"/>
      <c r="P5" s="38"/>
      <c r="Q5" s="15">
        <v>535.37</v>
      </c>
      <c r="R5" s="52">
        <f>+Q5</f>
        <v>535.37</v>
      </c>
      <c r="S5" s="40"/>
      <c r="T5" s="66"/>
    </row>
    <row r="6" spans="1:20" x14ac:dyDescent="0.2">
      <c r="A6" s="37" t="s">
        <v>6</v>
      </c>
      <c r="B6" s="43">
        <v>17</v>
      </c>
      <c r="C6" s="39">
        <v>22</v>
      </c>
      <c r="D6" s="38"/>
      <c r="E6" s="38"/>
      <c r="F6" s="51">
        <v>1104.5</v>
      </c>
      <c r="G6" s="52">
        <f>+F6</f>
        <v>1104.5</v>
      </c>
      <c r="H6" s="40">
        <f>C6*F6</f>
        <v>24299</v>
      </c>
      <c r="I6" s="40">
        <f>+H6</f>
        <v>24299</v>
      </c>
      <c r="J6" s="53">
        <f>(C6-B6)/B6</f>
        <v>0.29411764705882354</v>
      </c>
      <c r="K6" s="40"/>
      <c r="L6" s="41"/>
      <c r="M6" s="37" t="s">
        <v>6</v>
      </c>
      <c r="N6" s="43">
        <v>17</v>
      </c>
      <c r="O6" s="38"/>
      <c r="P6" s="38"/>
      <c r="Q6" s="15">
        <v>1070.75</v>
      </c>
      <c r="R6" s="52">
        <f>+Q6</f>
        <v>1070.75</v>
      </c>
      <c r="S6" s="40"/>
      <c r="T6" s="66"/>
    </row>
    <row r="7" spans="1:20" x14ac:dyDescent="0.2">
      <c r="A7" s="37" t="s">
        <v>13</v>
      </c>
      <c r="B7" s="43"/>
      <c r="C7" s="39">
        <v>3</v>
      </c>
      <c r="D7" s="38"/>
      <c r="E7" s="38"/>
      <c r="F7" s="51">
        <v>1070.68</v>
      </c>
      <c r="G7" s="52">
        <f>+F7</f>
        <v>1070.68</v>
      </c>
      <c r="H7" s="40">
        <f>C7*F7</f>
        <v>3212.04</v>
      </c>
      <c r="I7" s="40">
        <f>+H7</f>
        <v>3212.04</v>
      </c>
      <c r="J7" s="53"/>
      <c r="K7" s="40"/>
      <c r="L7" s="41"/>
      <c r="M7" s="37" t="s">
        <v>13</v>
      </c>
      <c r="N7" s="43"/>
      <c r="O7" s="38"/>
      <c r="P7" s="38"/>
      <c r="Q7" s="15">
        <f>+Q6</f>
        <v>1070.75</v>
      </c>
      <c r="R7" s="52">
        <f>+Q7</f>
        <v>1070.75</v>
      </c>
      <c r="S7" s="40"/>
      <c r="T7" s="66"/>
    </row>
    <row r="8" spans="1:20" x14ac:dyDescent="0.2">
      <c r="A8" s="37" t="s">
        <v>5</v>
      </c>
      <c r="B8" s="43">
        <v>28</v>
      </c>
      <c r="C8" s="39">
        <v>35</v>
      </c>
      <c r="D8" s="38"/>
      <c r="E8" s="38"/>
      <c r="F8" s="51">
        <v>1642.48</v>
      </c>
      <c r="G8" s="52">
        <f>+F8</f>
        <v>1642.48</v>
      </c>
      <c r="H8" s="40">
        <f>C8*F8</f>
        <v>57486.8</v>
      </c>
      <c r="I8" s="40">
        <f>+H8</f>
        <v>57486.8</v>
      </c>
      <c r="J8" s="53">
        <f>(C8-B8)/B8</f>
        <v>0.25</v>
      </c>
      <c r="K8" s="40"/>
      <c r="L8" s="41"/>
      <c r="M8" s="37" t="s">
        <v>5</v>
      </c>
      <c r="N8" s="43">
        <v>28</v>
      </c>
      <c r="O8" s="38"/>
      <c r="P8" s="38"/>
      <c r="Q8" s="15">
        <v>1542.92</v>
      </c>
      <c r="R8" s="52">
        <f>+Q8</f>
        <v>1542.92</v>
      </c>
      <c r="S8" s="40"/>
      <c r="T8" s="66"/>
    </row>
    <row r="9" spans="1:20" x14ac:dyDescent="0.2">
      <c r="A9" s="37"/>
      <c r="B9" s="54">
        <f>SUM(B5:B8)</f>
        <v>76</v>
      </c>
      <c r="C9" s="30">
        <f>SUM(C5:C8)</f>
        <v>103</v>
      </c>
      <c r="D9" s="38"/>
      <c r="E9" s="38"/>
      <c r="F9" s="51"/>
      <c r="G9" s="52"/>
      <c r="H9" s="30">
        <f>SUM(H5:H8)</f>
        <v>108739.86000000002</v>
      </c>
      <c r="I9" s="30">
        <f>SUM(I5:I8)</f>
        <v>108739.86000000002</v>
      </c>
      <c r="J9" s="55">
        <f>(C9-B9)/B9</f>
        <v>0.35526315789473684</v>
      </c>
      <c r="K9" s="40"/>
      <c r="L9" s="41"/>
      <c r="M9" s="37"/>
      <c r="N9" s="54">
        <f>SUM(N5:N8)</f>
        <v>76</v>
      </c>
      <c r="O9" s="38"/>
      <c r="P9" s="38"/>
      <c r="Q9" s="52">
        <f>SUMPRODUCT(Q5:Q8,$N$5:$N$8)</f>
        <v>78000.98000000001</v>
      </c>
      <c r="R9" s="52">
        <f>SUMPRODUCT(R5:R8,$N$5:$N$8)</f>
        <v>78000.98000000001</v>
      </c>
      <c r="S9" s="30"/>
      <c r="T9" s="67"/>
    </row>
    <row r="10" spans="1:20" x14ac:dyDescent="0.2">
      <c r="A10" s="42"/>
      <c r="B10" s="43"/>
      <c r="C10" s="44"/>
      <c r="D10" s="40"/>
      <c r="E10" s="40"/>
      <c r="F10" s="51"/>
      <c r="G10" s="52"/>
      <c r="H10" s="40"/>
      <c r="I10" s="40"/>
      <c r="J10" s="40"/>
      <c r="K10" s="40"/>
      <c r="L10" s="41"/>
      <c r="M10" s="42"/>
      <c r="N10" s="43"/>
      <c r="O10" s="40"/>
      <c r="P10" s="40"/>
      <c r="Q10" s="51"/>
      <c r="R10" s="52"/>
      <c r="S10" s="40"/>
      <c r="T10" s="41"/>
    </row>
    <row r="11" spans="1:20" x14ac:dyDescent="0.2">
      <c r="A11" s="46" t="s">
        <v>11</v>
      </c>
      <c r="B11" s="54"/>
      <c r="C11" s="30"/>
      <c r="D11" s="48"/>
      <c r="E11" s="48"/>
      <c r="F11" s="51"/>
      <c r="G11" s="52"/>
      <c r="H11" s="40"/>
      <c r="I11" s="40"/>
      <c r="J11" s="40"/>
      <c r="K11" s="40"/>
      <c r="L11" s="41"/>
      <c r="M11" s="46" t="s">
        <v>11</v>
      </c>
      <c r="N11" s="54"/>
      <c r="O11" s="48"/>
      <c r="P11" s="48"/>
      <c r="Q11" s="51"/>
      <c r="R11" s="52"/>
      <c r="S11" s="40"/>
      <c r="T11" s="41"/>
    </row>
    <row r="12" spans="1:20" x14ac:dyDescent="0.2">
      <c r="A12" s="37" t="s">
        <v>4</v>
      </c>
      <c r="B12" s="43">
        <v>21</v>
      </c>
      <c r="C12" s="39">
        <v>16</v>
      </c>
      <c r="D12" s="56">
        <v>250</v>
      </c>
      <c r="E12" s="56">
        <f>C12*D12</f>
        <v>4000</v>
      </c>
      <c r="F12" s="51">
        <v>496.37</v>
      </c>
      <c r="G12" s="52">
        <f>F12+(D12/12)</f>
        <v>517.20333333333338</v>
      </c>
      <c r="H12" s="40">
        <f>C12*F12</f>
        <v>7941.92</v>
      </c>
      <c r="I12" s="40">
        <f>+G12*C12</f>
        <v>8275.253333333334</v>
      </c>
      <c r="J12" s="53">
        <f>(C12-B12)/B12</f>
        <v>-0.23809523809523808</v>
      </c>
      <c r="K12" s="40"/>
      <c r="L12" s="41"/>
      <c r="M12" s="37" t="s">
        <v>4</v>
      </c>
      <c r="N12" s="43">
        <v>21</v>
      </c>
      <c r="O12" s="56">
        <v>750</v>
      </c>
      <c r="P12" s="56">
        <f>+N12*O12</f>
        <v>15750</v>
      </c>
      <c r="Q12" s="15">
        <v>495.31</v>
      </c>
      <c r="R12" s="52">
        <f>Q12+(O12/12)</f>
        <v>557.80999999999995</v>
      </c>
      <c r="S12" s="40"/>
      <c r="T12" s="66"/>
    </row>
    <row r="13" spans="1:20" x14ac:dyDescent="0.2">
      <c r="A13" s="37" t="s">
        <v>6</v>
      </c>
      <c r="B13" s="43">
        <v>21</v>
      </c>
      <c r="C13" s="39">
        <v>13</v>
      </c>
      <c r="D13" s="56">
        <v>500</v>
      </c>
      <c r="E13" s="56">
        <f>C13*D13</f>
        <v>6500</v>
      </c>
      <c r="F13" s="51">
        <v>912.39</v>
      </c>
      <c r="G13" s="52">
        <f>F13+(D13/12)</f>
        <v>954.05666666666662</v>
      </c>
      <c r="H13" s="40">
        <f>C13*F13</f>
        <v>11861.07</v>
      </c>
      <c r="I13" s="40">
        <f>+G13*C13</f>
        <v>12402.736666666666</v>
      </c>
      <c r="J13" s="53">
        <f>(C13-B13)/B13</f>
        <v>-0.38095238095238093</v>
      </c>
      <c r="K13" s="40"/>
      <c r="L13" s="41"/>
      <c r="M13" s="37" t="s">
        <v>6</v>
      </c>
      <c r="N13" s="43">
        <v>21</v>
      </c>
      <c r="O13" s="56">
        <v>1500</v>
      </c>
      <c r="P13" s="56">
        <f>+N13*O13</f>
        <v>31500</v>
      </c>
      <c r="Q13" s="15">
        <v>874.54</v>
      </c>
      <c r="R13" s="52">
        <f>Q13+(O13/12)</f>
        <v>999.54</v>
      </c>
      <c r="S13" s="40"/>
      <c r="T13" s="66"/>
    </row>
    <row r="14" spans="1:20" x14ac:dyDescent="0.2">
      <c r="A14" s="37" t="s">
        <v>13</v>
      </c>
      <c r="B14" s="43"/>
      <c r="C14" s="39">
        <v>4</v>
      </c>
      <c r="D14" s="56">
        <v>500</v>
      </c>
      <c r="E14" s="56">
        <f>C14*D14</f>
        <v>2000</v>
      </c>
      <c r="F14" s="51">
        <v>678.2</v>
      </c>
      <c r="G14" s="52">
        <f>F14+(D14/12)</f>
        <v>719.86666666666667</v>
      </c>
      <c r="H14" s="40">
        <f>C14*F14</f>
        <v>2712.8</v>
      </c>
      <c r="I14" s="40">
        <f>+G14*C14</f>
        <v>2879.4666666666667</v>
      </c>
      <c r="J14" s="53" t="e">
        <f>(C14-B14)/B14</f>
        <v>#DIV/0!</v>
      </c>
      <c r="K14" s="40"/>
      <c r="L14" s="41"/>
      <c r="M14" s="37" t="s">
        <v>13</v>
      </c>
      <c r="N14" s="43"/>
      <c r="O14" s="56">
        <v>1500</v>
      </c>
      <c r="P14" s="56">
        <f>+N14*O14</f>
        <v>0</v>
      </c>
      <c r="Q14" s="15">
        <f>+Q13</f>
        <v>874.54</v>
      </c>
      <c r="R14" s="52">
        <f>Q14+(O14/12)</f>
        <v>999.54</v>
      </c>
      <c r="S14" s="40"/>
      <c r="T14" s="66"/>
    </row>
    <row r="15" spans="1:20" x14ac:dyDescent="0.2">
      <c r="A15" s="37" t="s">
        <v>7</v>
      </c>
      <c r="B15" s="43">
        <v>21</v>
      </c>
      <c r="C15" s="39">
        <v>7</v>
      </c>
      <c r="D15" s="56">
        <v>500</v>
      </c>
      <c r="E15" s="56">
        <f>C15*D15</f>
        <v>3500</v>
      </c>
      <c r="F15" s="51">
        <v>1346.79</v>
      </c>
      <c r="G15" s="52">
        <f>F15+(D15/12)</f>
        <v>1388.4566666666667</v>
      </c>
      <c r="H15" s="40">
        <f>C15*F15</f>
        <v>9427.5299999999988</v>
      </c>
      <c r="I15" s="40">
        <f>+G15*C15</f>
        <v>9719.1966666666667</v>
      </c>
      <c r="J15" s="53">
        <f>(C15-B15)/B15</f>
        <v>-0.66666666666666663</v>
      </c>
      <c r="K15" s="40"/>
      <c r="L15" s="41"/>
      <c r="M15" s="37" t="s">
        <v>7</v>
      </c>
      <c r="N15" s="43">
        <v>21</v>
      </c>
      <c r="O15" s="56">
        <v>1500</v>
      </c>
      <c r="P15" s="56">
        <f>+N15*O15</f>
        <v>31500</v>
      </c>
      <c r="Q15" s="15">
        <v>1327.71</v>
      </c>
      <c r="R15" s="52">
        <f>Q15+(O15/12)</f>
        <v>1452.71</v>
      </c>
      <c r="S15" s="40"/>
      <c r="T15" s="66"/>
    </row>
    <row r="16" spans="1:20" x14ac:dyDescent="0.2">
      <c r="A16" s="37"/>
      <c r="B16" s="54">
        <f>SUM(B12:B15)</f>
        <v>63</v>
      </c>
      <c r="C16" s="30">
        <f>SUM(C12:C15)</f>
        <v>40</v>
      </c>
      <c r="D16" s="56"/>
      <c r="E16" s="56"/>
      <c r="F16" s="51"/>
      <c r="G16" s="52"/>
      <c r="H16" s="30">
        <f>SUM(H12:H15)</f>
        <v>31943.319999999996</v>
      </c>
      <c r="I16" s="30">
        <f>SUM(I12:I15)</f>
        <v>33276.653333333335</v>
      </c>
      <c r="J16" s="55">
        <f>(C16-B16)/B16</f>
        <v>-0.36507936507936506</v>
      </c>
      <c r="K16" s="40"/>
      <c r="L16" s="41"/>
      <c r="M16" s="37"/>
      <c r="N16" s="54">
        <f>SUM(N12:N15)</f>
        <v>63</v>
      </c>
      <c r="O16" s="56"/>
      <c r="P16" s="56"/>
      <c r="Q16" s="52">
        <f>SUMPRODUCT(Q12:Q15,$N$12:$N$15)</f>
        <v>56648.759999999995</v>
      </c>
      <c r="R16" s="52">
        <f>SUMPRODUCT(R12:R15,$N$12:$N$15)</f>
        <v>63211.259999999995</v>
      </c>
      <c r="S16" s="30"/>
      <c r="T16" s="67"/>
    </row>
    <row r="17" spans="1:20" x14ac:dyDescent="0.2">
      <c r="A17" s="42"/>
      <c r="B17" s="43"/>
      <c r="C17" s="44"/>
      <c r="D17" s="57"/>
      <c r="E17" s="57"/>
      <c r="F17" s="51"/>
      <c r="G17" s="52"/>
      <c r="H17" s="40"/>
      <c r="I17" s="40"/>
      <c r="J17" s="40"/>
      <c r="K17" s="40"/>
      <c r="L17" s="41"/>
      <c r="M17" s="42"/>
      <c r="N17" s="43"/>
      <c r="O17" s="57"/>
      <c r="P17" s="57"/>
      <c r="Q17" s="51"/>
      <c r="R17" s="52"/>
      <c r="S17" s="40"/>
      <c r="T17" s="41"/>
    </row>
    <row r="18" spans="1:20" x14ac:dyDescent="0.2">
      <c r="A18" s="46" t="s">
        <v>12</v>
      </c>
      <c r="B18" s="54"/>
      <c r="C18" s="30"/>
      <c r="D18" s="58"/>
      <c r="E18" s="58"/>
      <c r="F18" s="51"/>
      <c r="G18" s="52"/>
      <c r="H18" s="40"/>
      <c r="I18" s="40"/>
      <c r="J18" s="40"/>
      <c r="K18" s="40"/>
      <c r="L18" s="41"/>
      <c r="M18" s="46" t="s">
        <v>12</v>
      </c>
      <c r="N18" s="54"/>
      <c r="O18" s="58"/>
      <c r="P18" s="58"/>
      <c r="Q18" s="51"/>
      <c r="R18" s="52"/>
      <c r="S18" s="40"/>
      <c r="T18" s="41"/>
    </row>
    <row r="19" spans="1:20" x14ac:dyDescent="0.2">
      <c r="A19" s="37" t="s">
        <v>4</v>
      </c>
      <c r="B19" s="43">
        <v>39</v>
      </c>
      <c r="C19" s="39">
        <v>37</v>
      </c>
      <c r="D19" s="56">
        <v>750</v>
      </c>
      <c r="E19" s="56">
        <f>C19*D19</f>
        <v>27750</v>
      </c>
      <c r="F19" s="51">
        <v>442.08</v>
      </c>
      <c r="G19" s="52">
        <f>F19+(D19/12)</f>
        <v>504.58</v>
      </c>
      <c r="H19" s="40">
        <f>C19*F19</f>
        <v>16356.96</v>
      </c>
      <c r="I19" s="40">
        <f>+G19*C19</f>
        <v>18669.46</v>
      </c>
      <c r="J19" s="53">
        <f t="shared" ref="J19:J25" si="0">(C19-B19)/B19</f>
        <v>-5.128205128205128E-2</v>
      </c>
      <c r="K19" s="40"/>
      <c r="L19" s="41"/>
      <c r="M19" s="37" t="s">
        <v>4</v>
      </c>
      <c r="N19" s="43">
        <v>39</v>
      </c>
      <c r="O19" s="56">
        <v>1250</v>
      </c>
      <c r="P19" s="56">
        <f>+N19*O19</f>
        <v>48750</v>
      </c>
      <c r="Q19" s="15">
        <v>409.49</v>
      </c>
      <c r="R19" s="52">
        <f>Q19+(O19/12)</f>
        <v>513.65666666666664</v>
      </c>
      <c r="S19" s="40"/>
      <c r="T19" s="66"/>
    </row>
    <row r="20" spans="1:20" x14ac:dyDescent="0.2">
      <c r="A20" s="37" t="s">
        <v>6</v>
      </c>
      <c r="B20" s="43">
        <v>8</v>
      </c>
      <c r="C20" s="39">
        <v>10</v>
      </c>
      <c r="D20" s="56">
        <v>1500</v>
      </c>
      <c r="E20" s="56">
        <f>C20*D20</f>
        <v>15000</v>
      </c>
      <c r="F20" s="51">
        <v>780.73</v>
      </c>
      <c r="G20" s="52">
        <f>F20+(D20/12)</f>
        <v>905.73</v>
      </c>
      <c r="H20" s="40">
        <f>C20*F20</f>
        <v>7807.3</v>
      </c>
      <c r="I20" s="40">
        <f>+G20*C20</f>
        <v>9057.2999999999993</v>
      </c>
      <c r="J20" s="53">
        <f t="shared" si="0"/>
        <v>0.25</v>
      </c>
      <c r="K20" s="40"/>
      <c r="L20" s="41"/>
      <c r="M20" s="37" t="s">
        <v>6</v>
      </c>
      <c r="N20" s="43">
        <v>8</v>
      </c>
      <c r="O20" s="56">
        <v>2500</v>
      </c>
      <c r="P20" s="56">
        <f>+N20*O20</f>
        <v>20000</v>
      </c>
      <c r="Q20" s="15">
        <v>696.09</v>
      </c>
      <c r="R20" s="52">
        <f>Q20+(O20/12)</f>
        <v>904.4233333333334</v>
      </c>
      <c r="S20" s="40"/>
      <c r="T20" s="66"/>
    </row>
    <row r="21" spans="1:20" x14ac:dyDescent="0.2">
      <c r="A21" s="37" t="s">
        <v>13</v>
      </c>
      <c r="B21" s="43"/>
      <c r="C21" s="39">
        <v>2</v>
      </c>
      <c r="D21" s="56">
        <v>1500</v>
      </c>
      <c r="E21" s="56">
        <f>C21*D21</f>
        <v>3000</v>
      </c>
      <c r="F21" s="51">
        <v>580.44000000000005</v>
      </c>
      <c r="G21" s="52">
        <f>F21+(D21/12)</f>
        <v>705.44</v>
      </c>
      <c r="H21" s="40">
        <f>C21*F21</f>
        <v>1160.8800000000001</v>
      </c>
      <c r="I21" s="40">
        <f>+G21*C21</f>
        <v>1410.88</v>
      </c>
      <c r="J21" s="53" t="e">
        <f t="shared" si="0"/>
        <v>#DIV/0!</v>
      </c>
      <c r="K21" s="40"/>
      <c r="L21" s="41"/>
      <c r="M21" s="37" t="s">
        <v>13</v>
      </c>
      <c r="N21" s="43"/>
      <c r="O21" s="56">
        <v>2500</v>
      </c>
      <c r="P21" s="56">
        <f>+N21*O21</f>
        <v>0</v>
      </c>
      <c r="Q21" s="15">
        <f>+Q20</f>
        <v>696.09</v>
      </c>
      <c r="R21" s="52">
        <f>Q21+(O21/12)</f>
        <v>904.4233333333334</v>
      </c>
      <c r="S21" s="40"/>
      <c r="T21" s="66"/>
    </row>
    <row r="22" spans="1:20" x14ac:dyDescent="0.2">
      <c r="A22" s="37" t="s">
        <v>8</v>
      </c>
      <c r="B22" s="43">
        <v>19</v>
      </c>
      <c r="C22" s="39">
        <v>18</v>
      </c>
      <c r="D22" s="56">
        <v>1500</v>
      </c>
      <c r="E22" s="56">
        <f>C22*D22</f>
        <v>27000</v>
      </c>
      <c r="F22" s="51">
        <v>1151.51</v>
      </c>
      <c r="G22" s="52">
        <f>F22+(D22/12)</f>
        <v>1276.51</v>
      </c>
      <c r="H22" s="40">
        <f>C22*F22</f>
        <v>20727.18</v>
      </c>
      <c r="I22" s="40">
        <f>+G22*C22</f>
        <v>22977.18</v>
      </c>
      <c r="J22" s="53">
        <f t="shared" si="0"/>
        <v>-5.2631578947368418E-2</v>
      </c>
      <c r="K22" s="40"/>
      <c r="L22" s="41"/>
      <c r="M22" s="37" t="s">
        <v>8</v>
      </c>
      <c r="N22" s="43">
        <v>19</v>
      </c>
      <c r="O22" s="56">
        <v>2500</v>
      </c>
      <c r="P22" s="56">
        <f>+N22*O22</f>
        <v>47500</v>
      </c>
      <c r="Q22" s="15">
        <v>1062.9100000000001</v>
      </c>
      <c r="R22" s="52">
        <f>Q22+(O22/12)</f>
        <v>1271.2433333333333</v>
      </c>
      <c r="S22" s="40"/>
      <c r="T22" s="66"/>
    </row>
    <row r="23" spans="1:20" x14ac:dyDescent="0.2">
      <c r="A23" s="37"/>
      <c r="B23" s="54">
        <f>SUM(B19:B22)</f>
        <v>66</v>
      </c>
      <c r="C23" s="30">
        <f>SUM(C19:C22)</f>
        <v>67</v>
      </c>
      <c r="D23" s="56"/>
      <c r="E23" s="56"/>
      <c r="F23" s="40"/>
      <c r="G23" s="40"/>
      <c r="H23" s="30">
        <f>SUM(H19:H22)</f>
        <v>46052.32</v>
      </c>
      <c r="I23" s="30">
        <f>SUM(I19:I22)</f>
        <v>52114.82</v>
      </c>
      <c r="J23" s="55">
        <f t="shared" si="0"/>
        <v>1.5151515151515152E-2</v>
      </c>
      <c r="K23" s="40"/>
      <c r="L23" s="41"/>
      <c r="M23" s="37"/>
      <c r="N23" s="54">
        <f>SUM(N19:N22)</f>
        <v>66</v>
      </c>
      <c r="O23" s="56"/>
      <c r="P23" s="56"/>
      <c r="Q23" s="52">
        <f>SUMPRODUCT(Q19:Q22,$N$19:$N$22)</f>
        <v>41734.120000000003</v>
      </c>
      <c r="R23" s="52">
        <f>SUMPRODUCT(R19:R22,$N$19:$N$22)</f>
        <v>51421.619999999995</v>
      </c>
      <c r="S23" s="30"/>
      <c r="T23" s="67"/>
    </row>
    <row r="24" spans="1:20" x14ac:dyDescent="0.2">
      <c r="A24" s="37"/>
      <c r="B24" s="38"/>
      <c r="C24" s="39"/>
      <c r="D24" s="56"/>
      <c r="E24" s="56"/>
      <c r="F24" s="40"/>
      <c r="G24" s="40"/>
      <c r="H24" s="40"/>
      <c r="I24" s="40"/>
      <c r="J24" s="40"/>
      <c r="K24" s="40"/>
      <c r="L24" s="41"/>
      <c r="M24" s="37"/>
      <c r="N24" s="38"/>
      <c r="O24" s="56"/>
      <c r="P24" s="56"/>
      <c r="Q24" s="40"/>
      <c r="R24" s="40"/>
      <c r="S24" s="40"/>
      <c r="T24" s="41"/>
    </row>
    <row r="25" spans="1:20" x14ac:dyDescent="0.2">
      <c r="A25" s="37" t="s">
        <v>17</v>
      </c>
      <c r="B25" s="39">
        <f>B9+B16+B23</f>
        <v>205</v>
      </c>
      <c r="C25" s="39">
        <f>C9+C16+C23</f>
        <v>210</v>
      </c>
      <c r="D25" s="56"/>
      <c r="E25" s="56">
        <f>SUM(E12:E22)</f>
        <v>88750</v>
      </c>
      <c r="F25" s="40"/>
      <c r="G25" s="40"/>
      <c r="H25" s="59">
        <f>H9+H16+H23</f>
        <v>186735.50000000003</v>
      </c>
      <c r="I25" s="59">
        <f>I9+I16+I23</f>
        <v>194131.33333333337</v>
      </c>
      <c r="J25" s="55">
        <f t="shared" si="0"/>
        <v>2.4390243902439025E-2</v>
      </c>
      <c r="K25" s="40"/>
      <c r="L25" s="41"/>
      <c r="M25" s="37" t="s">
        <v>17</v>
      </c>
      <c r="N25" s="39">
        <f>N9+N16+N23</f>
        <v>205</v>
      </c>
      <c r="O25" s="56"/>
      <c r="P25" s="56">
        <f>SUM(P12:P22)</f>
        <v>195000</v>
      </c>
      <c r="Q25" s="72">
        <f>+Q23+Q16+Q9</f>
        <v>176383.86000000002</v>
      </c>
      <c r="R25" s="72">
        <f>+R23+R16+R9</f>
        <v>192633.86</v>
      </c>
      <c r="S25" s="59"/>
      <c r="T25" s="67"/>
    </row>
    <row r="26" spans="1:20" x14ac:dyDescent="0.2">
      <c r="A26" s="42"/>
      <c r="B26" s="40"/>
      <c r="C26" s="44"/>
      <c r="D26" s="40"/>
      <c r="E26" s="40"/>
      <c r="F26" s="40"/>
      <c r="G26" s="40"/>
      <c r="H26" s="40"/>
      <c r="I26" s="40"/>
      <c r="J26" s="40"/>
      <c r="K26" s="40"/>
      <c r="L26" s="41"/>
      <c r="M26" s="42"/>
      <c r="N26" s="40"/>
      <c r="O26" s="40"/>
      <c r="P26" s="40"/>
      <c r="Q26" s="71">
        <f>+H25-Q25</f>
        <v>10351.640000000014</v>
      </c>
      <c r="R26" s="40"/>
      <c r="S26" s="40"/>
      <c r="T26" s="41"/>
    </row>
    <row r="27" spans="1:20" x14ac:dyDescent="0.2">
      <c r="A27" s="46" t="s">
        <v>9</v>
      </c>
      <c r="B27" s="48"/>
      <c r="C27" s="30"/>
      <c r="D27" s="48"/>
      <c r="E27" s="73">
        <f>+E25-P25</f>
        <v>-106250</v>
      </c>
      <c r="F27" s="40"/>
      <c r="G27" s="40"/>
      <c r="H27" s="40"/>
      <c r="I27" s="40"/>
      <c r="J27" s="40"/>
      <c r="K27" s="40"/>
      <c r="L27" s="41"/>
      <c r="M27" s="42"/>
      <c r="N27" s="40"/>
      <c r="O27" s="40"/>
      <c r="P27" s="40"/>
      <c r="Q27" s="57">
        <f>+Q26*12</f>
        <v>124219.68000000017</v>
      </c>
      <c r="R27" s="40"/>
      <c r="S27" s="40"/>
      <c r="T27" s="41"/>
    </row>
    <row r="28" spans="1:20" x14ac:dyDescent="0.2">
      <c r="A28" s="37" t="s">
        <v>4</v>
      </c>
      <c r="B28" s="38"/>
      <c r="C28" s="39"/>
      <c r="D28" s="38"/>
      <c r="E28" s="38"/>
      <c r="F28" s="40"/>
      <c r="G28" s="40"/>
      <c r="H28" s="40"/>
      <c r="I28" s="40"/>
      <c r="J28" s="40"/>
      <c r="K28" s="40"/>
      <c r="L28" s="41"/>
      <c r="M28" s="42"/>
      <c r="N28" s="40"/>
      <c r="O28" s="40"/>
      <c r="P28" s="40"/>
      <c r="Q28" s="40"/>
      <c r="R28" s="40"/>
      <c r="S28" s="40"/>
      <c r="T28" s="41"/>
    </row>
    <row r="29" spans="1:20" x14ac:dyDescent="0.2">
      <c r="A29" s="37" t="s">
        <v>6</v>
      </c>
      <c r="B29" s="38"/>
      <c r="C29" s="39"/>
      <c r="D29" s="38"/>
      <c r="E29" s="38"/>
      <c r="F29" s="40"/>
      <c r="G29" s="40"/>
      <c r="H29" s="40"/>
      <c r="I29" s="40"/>
      <c r="J29" s="40"/>
      <c r="K29" s="40"/>
      <c r="L29" s="41"/>
      <c r="M29" s="42"/>
      <c r="N29" s="40"/>
      <c r="O29" s="40"/>
      <c r="P29" s="40"/>
      <c r="Q29" s="40"/>
      <c r="R29" s="40"/>
      <c r="S29" s="40"/>
      <c r="T29" s="41"/>
    </row>
    <row r="30" spans="1:20" x14ac:dyDescent="0.2">
      <c r="A30" s="37" t="s">
        <v>8</v>
      </c>
      <c r="B30" s="38"/>
      <c r="C30" s="39"/>
      <c r="D30" s="38"/>
      <c r="E30" s="38"/>
      <c r="F30" s="40"/>
      <c r="G30" s="40"/>
      <c r="H30" s="40"/>
      <c r="I30" s="40"/>
      <c r="J30" s="40"/>
      <c r="K30" s="40"/>
      <c r="L30" s="41"/>
      <c r="M30" s="42"/>
      <c r="N30" s="40"/>
      <c r="O30" s="40"/>
      <c r="P30" s="40"/>
      <c r="Q30" s="40"/>
      <c r="R30" s="71">
        <f>+I25-R25</f>
        <v>1497.4733333333861</v>
      </c>
      <c r="S30" s="40"/>
      <c r="T30" s="41"/>
    </row>
    <row r="31" spans="1:20" x14ac:dyDescent="0.2">
      <c r="A31" s="42"/>
      <c r="B31" s="40"/>
      <c r="C31" s="44"/>
      <c r="D31" s="40"/>
      <c r="E31" s="40"/>
      <c r="F31" s="40"/>
      <c r="G31" s="40"/>
      <c r="H31" s="40"/>
      <c r="I31" s="40"/>
      <c r="J31" s="40"/>
      <c r="K31" s="40"/>
      <c r="L31" s="41"/>
      <c r="M31" s="42"/>
      <c r="N31" s="40"/>
      <c r="O31" s="40"/>
      <c r="P31" s="40"/>
      <c r="Q31" s="40"/>
      <c r="R31" s="40">
        <f>+R30*12</f>
        <v>17969.680000000633</v>
      </c>
      <c r="S31" s="40"/>
      <c r="T31" s="41"/>
    </row>
    <row r="32" spans="1:20" x14ac:dyDescent="0.2">
      <c r="A32" s="46" t="s">
        <v>2</v>
      </c>
      <c r="B32" s="48"/>
      <c r="C32" s="30"/>
      <c r="D32" s="48"/>
      <c r="E32" s="48"/>
      <c r="F32" s="40"/>
      <c r="G32" s="40"/>
      <c r="H32" s="40"/>
      <c r="I32" s="40"/>
      <c r="J32" s="40"/>
      <c r="K32" s="40"/>
      <c r="L32" s="41"/>
      <c r="M32" s="42"/>
      <c r="N32" s="40"/>
      <c r="O32" s="40"/>
      <c r="P32" s="40"/>
      <c r="Q32" s="40"/>
      <c r="R32" s="40"/>
      <c r="S32" s="40"/>
      <c r="T32" s="41"/>
    </row>
    <row r="33" spans="1:20" x14ac:dyDescent="0.2">
      <c r="A33" s="37" t="s">
        <v>4</v>
      </c>
      <c r="B33" s="38"/>
      <c r="C33" s="39"/>
      <c r="D33" s="38"/>
      <c r="E33" s="38"/>
      <c r="F33" s="40"/>
      <c r="G33" s="40"/>
      <c r="H33" s="40"/>
      <c r="I33" s="40"/>
      <c r="J33" s="40"/>
      <c r="K33" s="40"/>
      <c r="L33" s="41"/>
      <c r="M33" s="42"/>
      <c r="N33" s="40"/>
      <c r="O33" s="40"/>
      <c r="P33" s="40"/>
      <c r="Q33" s="40"/>
      <c r="R33" s="40"/>
      <c r="S33" s="40"/>
      <c r="T33" s="41"/>
    </row>
    <row r="34" spans="1:20" x14ac:dyDescent="0.2">
      <c r="A34" s="37" t="s">
        <v>6</v>
      </c>
      <c r="B34" s="38"/>
      <c r="C34" s="39"/>
      <c r="D34" s="38"/>
      <c r="E34" s="38"/>
      <c r="F34" s="40"/>
      <c r="G34" s="40"/>
      <c r="H34" s="40"/>
      <c r="I34" s="40"/>
      <c r="J34" s="40"/>
      <c r="K34" s="40"/>
      <c r="L34" s="41"/>
      <c r="M34" s="42"/>
      <c r="N34" s="40"/>
      <c r="O34" s="40"/>
      <c r="P34" s="40"/>
      <c r="Q34" s="40"/>
      <c r="R34" s="40"/>
      <c r="S34" s="40"/>
      <c r="T34" s="41"/>
    </row>
    <row r="35" spans="1:20" ht="13.5" thickBot="1" x14ac:dyDescent="0.25">
      <c r="A35" s="60" t="s">
        <v>8</v>
      </c>
      <c r="B35" s="61"/>
      <c r="C35" s="62"/>
      <c r="D35" s="61"/>
      <c r="E35" s="61"/>
      <c r="F35" s="63"/>
      <c r="G35" s="63"/>
      <c r="H35" s="63"/>
      <c r="I35" s="63"/>
      <c r="J35" s="63"/>
      <c r="K35" s="63"/>
      <c r="L35" s="64"/>
      <c r="M35" s="68"/>
      <c r="N35" s="63"/>
      <c r="O35" s="63"/>
      <c r="P35" s="63"/>
      <c r="Q35" s="63"/>
      <c r="R35" s="63"/>
      <c r="S35" s="63"/>
      <c r="T35" s="64"/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df5f1c64-a2d3-4332-9f8d-c8619b2cba23" xsi:nil="true"/>
    <TaxCatchAll xmlns="0a71efb1-5250-41f9-9a5a-0cbae10a56dd" xsi:nil="true"/>
    <lcf76f155ced4ddcb4097134ff3c332f xmlns="df5f1c64-a2d3-4332-9f8d-c8619b2cba2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980BFF797C8A43A29EDC5A666CCEBB" ma:contentTypeVersion="18" ma:contentTypeDescription="Create a new document." ma:contentTypeScope="" ma:versionID="c6672b3205b61a556431eb4d93de90fe">
  <xsd:schema xmlns:xsd="http://www.w3.org/2001/XMLSchema" xmlns:xs="http://www.w3.org/2001/XMLSchema" xmlns:p="http://schemas.microsoft.com/office/2006/metadata/properties" xmlns:ns2="df5f1c64-a2d3-4332-9f8d-c8619b2cba23" xmlns:ns3="0a71efb1-5250-41f9-9a5a-0cbae10a56dd" targetNamespace="http://schemas.microsoft.com/office/2006/metadata/properties" ma:root="true" ma:fieldsID="944809128d24bc02b8db4afc9074067b" ns2:_="" ns3:_="">
    <xsd:import namespace="df5f1c64-a2d3-4332-9f8d-c8619b2cba23"/>
    <xsd:import namespace="0a71efb1-5250-41f9-9a5a-0cbae10a56dd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f1c64-a2d3-4332-9f8d-c8619b2cba23" elementFormDefault="qualified">
    <xsd:import namespace="http://schemas.microsoft.com/office/2006/documentManagement/types"/>
    <xsd:import namespace="http://schemas.microsoft.com/office/infopath/2007/PartnerControls"/>
    <xsd:element name="test" ma:index="2" nillable="true" ma:displayName="test" ma:format="DateTime" ma:internalName="test" ma:readOnly="false">
      <xsd:simpleType>
        <xsd:restriction base="dms:DateTime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638fdedc-b272-477a-bf77-2e9ca0abd3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1efb1-5250-41f9-9a5a-0cbae10a56d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48a27664-d785-459c-ac4e-4a0a4e033b04}" ma:internalName="TaxCatchAll" ma:readOnly="false" ma:showField="CatchAllData" ma:web="0a71efb1-5250-41f9-9a5a-0cbae10a56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279D522-4698-475E-A481-E56A24FEA89C}">
  <ds:schemaRefs>
    <ds:schemaRef ds:uri="http://schemas.microsoft.com/office/2006/metadata/properties"/>
    <ds:schemaRef ds:uri="http://schemas.microsoft.com/office/infopath/2007/PartnerControls"/>
    <ds:schemaRef ds:uri="df5f1c64-a2d3-4332-9f8d-c8619b2cba23"/>
    <ds:schemaRef ds:uri="0a71efb1-5250-41f9-9a5a-0cbae10a56dd"/>
  </ds:schemaRefs>
</ds:datastoreItem>
</file>

<file path=customXml/itemProps2.xml><?xml version="1.0" encoding="utf-8"?>
<ds:datastoreItem xmlns:ds="http://schemas.openxmlformats.org/officeDocument/2006/customXml" ds:itemID="{07D78188-7BC2-473E-AF6C-7A302EC6AF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D690F5-B695-44BF-AB34-85542E976B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5f1c64-a2d3-4332-9f8d-c8619b2cba23"/>
    <ds:schemaRef ds:uri="0a71efb1-5250-41f9-9a5a-0cbae10a56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6593C2E-BE5E-4EB5-AC12-8B4096D58CD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Data</vt:lpstr>
      <vt:lpstr>HCC</vt:lpstr>
      <vt:lpstr>2022</vt:lpstr>
      <vt:lpstr>2021</vt:lpstr>
      <vt:lpstr>2020</vt:lpstr>
      <vt:lpstr>2019 Archive</vt:lpstr>
      <vt:lpstr>2018 Archive</vt:lpstr>
      <vt:lpstr>Calc Sheet 2014 (2)</vt:lpstr>
      <vt:lpstr>Calc Sheet 2014</vt:lpstr>
      <vt:lpstr>'2018 Archive'!Print_Area</vt:lpstr>
      <vt:lpstr>'2019 Archive'!Print_Area</vt:lpstr>
    </vt:vector>
  </TitlesOfParts>
  <Company>The Richards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716</dc:creator>
  <cp:lastModifiedBy>Ploof, Betsy</cp:lastModifiedBy>
  <cp:lastPrinted>2022-05-23T15:49:06Z</cp:lastPrinted>
  <dcterms:created xsi:type="dcterms:W3CDTF">2010-01-11T21:34:50Z</dcterms:created>
  <dcterms:modified xsi:type="dcterms:W3CDTF">2022-08-15T13:33:41Z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0x0101000B980BFF797C8A43A29EDC5A666CCEBB</vt:lpwstr>
  </property>
  <property fmtid="{D5CDD505-2E9C-101B-9397-08002B2CF9AE}" pid="3" name="display_urn:schemas-microsoft-com:office:office#Editor">
    <vt:lpwstr>Ploof, Betsy</vt:lpwstr>
  </property>
  <property fmtid="{D5CDD505-2E9C-101B-9397-08002B2CF9AE}" pid="4" name="Order">
    <vt:lpwstr>3941800.00000000</vt:lpwstr>
  </property>
  <property fmtid="{D5CDD505-2E9C-101B-9397-08002B2CF9AE}" pid="5" name="display_urn:schemas-microsoft-com:office:office#Author">
    <vt:lpwstr>Ploof, Betsy</vt:lpwstr>
  </property>
  <property fmtid="{D5CDD505-2E9C-101B-9397-08002B2CF9AE}" pid="6" name="MediaServiceImageTags">
    <vt:lpwstr/>
  </property>
</Properties>
</file>