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Payroll\Calendars\2020\"/>
    </mc:Choice>
  </mc:AlternateContent>
  <bookViews>
    <workbookView xWindow="0" yWindow="0" windowWidth="28800" windowHeight="12885"/>
  </bookViews>
  <sheets>
    <sheet name="Calendar" sheetId="1" r:id="rId1"/>
  </sheets>
  <definedNames>
    <definedName name="AprSun1">DATEVALUE("4/1/"&amp;Calendar!$A$1)-WEEKDAY(DATEVALUE("4/1/"&amp;Calendar!$A$1))+1</definedName>
    <definedName name="AugSun1">DATEVALUE("8/1/"&amp;Calendar!$A$1)-WEEKDAY(DATEVALUE("8/1/"&amp;Calendar!$A$1))+1</definedName>
    <definedName name="DecSun1">DATEVALUE("12/1/"&amp;Calendar!$A$1)-WEEKDAY(DATEVALUE("12/1/"&amp;Calendar!$A$1))+1</definedName>
    <definedName name="FebSun1">DATEVALUE("2/1/"&amp;Calendar!$A$1)-WEEKDAY(DATEVALUE("2/1/"&amp;Calendar!$A$1))+1</definedName>
    <definedName name="JanSun1">DATEVALUE("1/1/"&amp;Calendar!$A$1)-WEEKDAY(DATEVALUE("1/1/"&amp;Calendar!$A$1))+1</definedName>
    <definedName name="JulSun1">DATEVALUE("7/1/"&amp;Calendar!$A$1)-WEEKDAY(DATEVALUE("7/1/"&amp;Calendar!$A$1))+1</definedName>
    <definedName name="JunSun1">DATEVALUE("6/1/"&amp;Calendar!$A$1)-WEEKDAY(DATEVALUE("6/1/"&amp;Calendar!$A$1))+1</definedName>
    <definedName name="MarSun1">DATEVALUE("3/1/"&amp;Calendar!$A$1)-WEEKDAY(DATEVALUE("3/1/"&amp;Calendar!$A$1))+1</definedName>
    <definedName name="MaySun1">DATEVALUE("5/1/"&amp;Calendar!$A$1)-WEEKDAY(DATEVALUE("5/1/"&amp;Calendar!$A$1))+1</definedName>
    <definedName name="NovSun1">DATEVALUE("11/1/"&amp;Calendar!$A$1)-WEEKDAY(DATEVALUE("11/1/"&amp;Calendar!$A$1))+1</definedName>
    <definedName name="OctSun1">DATEVALUE("10/1/"&amp;Calendar!$A$1)-WEEKDAY(DATEVALUE("10/1/"&amp;Calendar!$A$1))+1</definedName>
    <definedName name="SepSun1">DATEVALUE("9/1/"&amp;Calendar!$A$1)-WEEKDAY(DATEVALUE("9/1/"&amp;Calendar!$A$1))+1</definedName>
  </definedNames>
  <calcPr calcId="162913"/>
</workbook>
</file>

<file path=xl/calcChain.xml><?xml version="1.0" encoding="utf-8"?>
<calcChain xmlns="http://schemas.openxmlformats.org/spreadsheetml/2006/main">
  <c r="D8" i="1" l="1"/>
  <c r="P26" i="1" l="1"/>
  <c r="AB7" i="1" l="1"/>
  <c r="V16" i="1" l="1"/>
  <c r="AF27" i="1"/>
  <c r="AD27" i="1"/>
  <c r="AF15" i="1"/>
  <c r="P18" i="1"/>
  <c r="N19" i="1"/>
  <c r="N27" i="1"/>
  <c r="M27" i="1"/>
  <c r="L19" i="1"/>
  <c r="K19" i="1"/>
  <c r="F27" i="1"/>
  <c r="E27" i="1"/>
  <c r="H26" i="1"/>
  <c r="H25" i="1"/>
  <c r="AB16" i="1"/>
  <c r="AB10" i="1"/>
  <c r="AF7" i="1"/>
  <c r="AE7" i="1"/>
  <c r="X25" i="1" l="1"/>
  <c r="H6" i="1" l="1"/>
  <c r="AG6" i="1"/>
  <c r="G27" i="1"/>
  <c r="H27" i="1"/>
  <c r="AF25" i="1" l="1"/>
  <c r="AC27" i="1"/>
  <c r="AB27" i="1"/>
  <c r="V28" i="1"/>
  <c r="U28" i="1"/>
  <c r="T28" i="1"/>
  <c r="AC28" i="1"/>
  <c r="G28" i="1"/>
  <c r="AF17" i="1"/>
  <c r="AC17" i="1"/>
  <c r="AB17" i="1"/>
  <c r="W17" i="1"/>
  <c r="N17" i="1"/>
  <c r="P19" i="1"/>
  <c r="G19" i="1"/>
  <c r="H17" i="1"/>
  <c r="H9" i="1"/>
  <c r="T8" i="1"/>
  <c r="X7" i="1"/>
  <c r="AC8" i="1"/>
  <c r="AD7" i="1"/>
  <c r="AE10" i="1"/>
  <c r="V10" i="1"/>
  <c r="M10" i="1"/>
  <c r="L10" i="1"/>
  <c r="G10" i="1"/>
  <c r="L8" i="1"/>
  <c r="P7" i="1"/>
  <c r="E8" i="1"/>
  <c r="G7" i="1"/>
  <c r="H7" i="1"/>
  <c r="F7" i="1"/>
  <c r="E7" i="1"/>
  <c r="H28" i="1" l="1"/>
  <c r="U8" i="1"/>
  <c r="AA25" i="1"/>
  <c r="AB25" i="1"/>
  <c r="AC25" i="1"/>
  <c r="AD25" i="1"/>
  <c r="AE25" i="1"/>
  <c r="AG25" i="1"/>
  <c r="AA26" i="1"/>
  <c r="AB26" i="1"/>
  <c r="AC26" i="1"/>
  <c r="AD26" i="1"/>
  <c r="AE26" i="1"/>
  <c r="AF26" i="1"/>
  <c r="AG26" i="1"/>
  <c r="AA27" i="1"/>
  <c r="AE27" i="1"/>
  <c r="AG27" i="1"/>
  <c r="AA28" i="1"/>
  <c r="AB28" i="1"/>
  <c r="AD28" i="1"/>
  <c r="AE28" i="1"/>
  <c r="AF28" i="1"/>
  <c r="AG28" i="1"/>
  <c r="AA29" i="1"/>
  <c r="AB29" i="1"/>
  <c r="AC29" i="1"/>
  <c r="AD29" i="1"/>
  <c r="AE29" i="1"/>
  <c r="AF29" i="1"/>
  <c r="AG29" i="1"/>
  <c r="AG24" i="1"/>
  <c r="AF24" i="1"/>
  <c r="AE24" i="1"/>
  <c r="AD24" i="1"/>
  <c r="AC24" i="1"/>
  <c r="AB24" i="1"/>
  <c r="AA24" i="1"/>
  <c r="AG20" i="1"/>
  <c r="AF20" i="1"/>
  <c r="AE20" i="1"/>
  <c r="AD20" i="1"/>
  <c r="AC20" i="1"/>
  <c r="AB20" i="1"/>
  <c r="AA20" i="1"/>
  <c r="AG19" i="1"/>
  <c r="AF19" i="1"/>
  <c r="AE19" i="1"/>
  <c r="AD19" i="1"/>
  <c r="AC19" i="1"/>
  <c r="AB19" i="1"/>
  <c r="AA19" i="1"/>
  <c r="AG18" i="1"/>
  <c r="AF18" i="1"/>
  <c r="AE18" i="1"/>
  <c r="AD18" i="1"/>
  <c r="AC18" i="1"/>
  <c r="AB18" i="1"/>
  <c r="AA18" i="1"/>
  <c r="AG17" i="1"/>
  <c r="AE17" i="1"/>
  <c r="AD17" i="1"/>
  <c r="AA17" i="1"/>
  <c r="AG16" i="1"/>
  <c r="AF16" i="1"/>
  <c r="AE16" i="1"/>
  <c r="AD16" i="1"/>
  <c r="AC16" i="1"/>
  <c r="AA16" i="1"/>
  <c r="AG15" i="1"/>
  <c r="AE15" i="1"/>
  <c r="AD15" i="1"/>
  <c r="AC15" i="1"/>
  <c r="AB15" i="1"/>
  <c r="AA15" i="1"/>
  <c r="AG11" i="1"/>
  <c r="AF11" i="1"/>
  <c r="AE11" i="1"/>
  <c r="AD11" i="1"/>
  <c r="AC11" i="1"/>
  <c r="AB11" i="1"/>
  <c r="AA11" i="1"/>
  <c r="AG10" i="1"/>
  <c r="AF10" i="1"/>
  <c r="AD10" i="1"/>
  <c r="AC10" i="1"/>
  <c r="AA10" i="1"/>
  <c r="AG9" i="1"/>
  <c r="AF9" i="1"/>
  <c r="AE9" i="1"/>
  <c r="AD9" i="1"/>
  <c r="AC9" i="1"/>
  <c r="AB9" i="1"/>
  <c r="AA9" i="1"/>
  <c r="AG8" i="1"/>
  <c r="AF8" i="1"/>
  <c r="AE8" i="1"/>
  <c r="AD8" i="1"/>
  <c r="AB8" i="1"/>
  <c r="AA8" i="1"/>
  <c r="AG7" i="1"/>
  <c r="AC7" i="1"/>
  <c r="AA7" i="1"/>
  <c r="AF6" i="1"/>
  <c r="AE6" i="1"/>
  <c r="AD6" i="1"/>
  <c r="AC6" i="1"/>
  <c r="AB6" i="1"/>
  <c r="AA6" i="1"/>
  <c r="Y29" i="1"/>
  <c r="X29" i="1"/>
  <c r="W29" i="1"/>
  <c r="V29" i="1"/>
  <c r="U29" i="1"/>
  <c r="T29" i="1"/>
  <c r="S29" i="1"/>
  <c r="Y28" i="1"/>
  <c r="X28" i="1"/>
  <c r="W28" i="1"/>
  <c r="S28" i="1"/>
  <c r="Y27" i="1"/>
  <c r="X27" i="1"/>
  <c r="W27" i="1"/>
  <c r="V27" i="1"/>
  <c r="U27" i="1"/>
  <c r="T27" i="1"/>
  <c r="S27" i="1"/>
  <c r="Y26" i="1"/>
  <c r="X26" i="1"/>
  <c r="W26" i="1"/>
  <c r="V26" i="1"/>
  <c r="U26" i="1"/>
  <c r="T26" i="1"/>
  <c r="S26" i="1"/>
  <c r="Y25" i="1"/>
  <c r="W25" i="1"/>
  <c r="V25" i="1"/>
  <c r="U25" i="1"/>
  <c r="T25" i="1"/>
  <c r="S25" i="1"/>
  <c r="Y24" i="1"/>
  <c r="X24" i="1"/>
  <c r="W24" i="1"/>
  <c r="V24" i="1"/>
  <c r="U24" i="1"/>
  <c r="T24" i="1"/>
  <c r="S24" i="1"/>
  <c r="Y20" i="1"/>
  <c r="X20" i="1"/>
  <c r="W20" i="1"/>
  <c r="V20" i="1"/>
  <c r="U20" i="1"/>
  <c r="T20" i="1"/>
  <c r="S20" i="1"/>
  <c r="Y19" i="1"/>
  <c r="X19" i="1"/>
  <c r="W19" i="1"/>
  <c r="V19" i="1"/>
  <c r="U19" i="1"/>
  <c r="T19" i="1"/>
  <c r="S19" i="1"/>
  <c r="Y18" i="1"/>
  <c r="X18" i="1"/>
  <c r="W18" i="1"/>
  <c r="V18" i="1"/>
  <c r="U18" i="1"/>
  <c r="T18" i="1"/>
  <c r="S18" i="1"/>
  <c r="Y17" i="1"/>
  <c r="X17" i="1"/>
  <c r="V17" i="1"/>
  <c r="U17" i="1"/>
  <c r="T17" i="1"/>
  <c r="S17" i="1"/>
  <c r="Y16" i="1"/>
  <c r="X16" i="1"/>
  <c r="W16" i="1"/>
  <c r="U16" i="1"/>
  <c r="T16" i="1"/>
  <c r="S16" i="1"/>
  <c r="Y15" i="1"/>
  <c r="X15" i="1"/>
  <c r="W15" i="1"/>
  <c r="V15" i="1"/>
  <c r="U15" i="1"/>
  <c r="T15" i="1"/>
  <c r="S15" i="1"/>
  <c r="Y11" i="1"/>
  <c r="X11" i="1"/>
  <c r="W11" i="1"/>
  <c r="V11" i="1"/>
  <c r="U11" i="1"/>
  <c r="T11" i="1"/>
  <c r="S11" i="1"/>
  <c r="Y10" i="1"/>
  <c r="X10" i="1"/>
  <c r="W10" i="1"/>
  <c r="U10" i="1"/>
  <c r="T10" i="1"/>
  <c r="S10" i="1"/>
  <c r="Y9" i="1"/>
  <c r="X9" i="1"/>
  <c r="W9" i="1"/>
  <c r="V9" i="1"/>
  <c r="U9" i="1"/>
  <c r="T9" i="1"/>
  <c r="S9" i="1"/>
  <c r="Y8" i="1"/>
  <c r="X8" i="1"/>
  <c r="W8" i="1"/>
  <c r="V8" i="1"/>
  <c r="S8" i="1"/>
  <c r="Y7" i="1"/>
  <c r="W7" i="1"/>
  <c r="V7" i="1"/>
  <c r="U7" i="1"/>
  <c r="T7" i="1"/>
  <c r="S7" i="1"/>
  <c r="Y6" i="1"/>
  <c r="X6" i="1"/>
  <c r="W6" i="1"/>
  <c r="V6" i="1"/>
  <c r="U6" i="1"/>
  <c r="T6" i="1"/>
  <c r="S6" i="1"/>
  <c r="Q29" i="1"/>
  <c r="P29" i="1"/>
  <c r="O29" i="1"/>
  <c r="N29" i="1"/>
  <c r="M29" i="1"/>
  <c r="L29" i="1"/>
  <c r="K29" i="1"/>
  <c r="Q28" i="1"/>
  <c r="P28" i="1"/>
  <c r="O28" i="1"/>
  <c r="N28" i="1"/>
  <c r="M28" i="1"/>
  <c r="L28" i="1"/>
  <c r="K28" i="1"/>
  <c r="Q27" i="1"/>
  <c r="P27" i="1"/>
  <c r="O27" i="1"/>
  <c r="L27" i="1"/>
  <c r="K27" i="1"/>
  <c r="Q26" i="1"/>
  <c r="O26" i="1"/>
  <c r="N26" i="1"/>
  <c r="M26" i="1"/>
  <c r="L26" i="1"/>
  <c r="K26" i="1"/>
  <c r="Q25" i="1"/>
  <c r="P25" i="1"/>
  <c r="O25" i="1"/>
  <c r="N25" i="1"/>
  <c r="M25" i="1"/>
  <c r="L25" i="1"/>
  <c r="K25" i="1"/>
  <c r="Q24" i="1"/>
  <c r="P24" i="1"/>
  <c r="O24" i="1"/>
  <c r="N24" i="1"/>
  <c r="M24" i="1"/>
  <c r="L24" i="1"/>
  <c r="K24" i="1"/>
  <c r="Q20" i="1"/>
  <c r="P20" i="1"/>
  <c r="O20" i="1"/>
  <c r="N20" i="1"/>
  <c r="M20" i="1"/>
  <c r="L20" i="1"/>
  <c r="K20" i="1"/>
  <c r="Q19" i="1"/>
  <c r="O19" i="1"/>
  <c r="M19" i="1"/>
  <c r="Q18" i="1"/>
  <c r="O18" i="1"/>
  <c r="N18" i="1"/>
  <c r="M18" i="1"/>
  <c r="L18" i="1"/>
  <c r="K18" i="1"/>
  <c r="Q17" i="1"/>
  <c r="P17" i="1"/>
  <c r="O17" i="1"/>
  <c r="M17" i="1"/>
  <c r="L17" i="1"/>
  <c r="K17" i="1"/>
  <c r="Q16" i="1"/>
  <c r="P16" i="1"/>
  <c r="O16" i="1"/>
  <c r="N16" i="1"/>
  <c r="M16" i="1"/>
  <c r="L16" i="1"/>
  <c r="K16" i="1"/>
  <c r="Q15" i="1"/>
  <c r="P15" i="1"/>
  <c r="O15" i="1"/>
  <c r="N15" i="1"/>
  <c r="M15" i="1"/>
  <c r="L15" i="1"/>
  <c r="K15" i="1"/>
  <c r="Q11" i="1"/>
  <c r="P11" i="1"/>
  <c r="O11" i="1"/>
  <c r="N11" i="1"/>
  <c r="M11" i="1"/>
  <c r="L11" i="1"/>
  <c r="K11" i="1"/>
  <c r="Q10" i="1"/>
  <c r="P10" i="1"/>
  <c r="O10" i="1"/>
  <c r="N10" i="1"/>
  <c r="K10" i="1"/>
  <c r="Q9" i="1"/>
  <c r="P9" i="1"/>
  <c r="O9" i="1"/>
  <c r="N9" i="1"/>
  <c r="M9" i="1"/>
  <c r="L9" i="1"/>
  <c r="K9" i="1"/>
  <c r="Q8" i="1"/>
  <c r="P8" i="1"/>
  <c r="O8" i="1"/>
  <c r="N8" i="1"/>
  <c r="M8" i="1"/>
  <c r="K8" i="1"/>
  <c r="Q7" i="1"/>
  <c r="O7" i="1"/>
  <c r="N7" i="1"/>
  <c r="M7" i="1"/>
  <c r="L7" i="1"/>
  <c r="K7" i="1"/>
  <c r="Q6" i="1"/>
  <c r="P6" i="1"/>
  <c r="O6" i="1"/>
  <c r="N6" i="1"/>
  <c r="M6" i="1"/>
  <c r="L6" i="1"/>
  <c r="K6" i="1"/>
  <c r="I29" i="1"/>
  <c r="H29" i="1"/>
  <c r="G29" i="1"/>
  <c r="F29" i="1"/>
  <c r="E29" i="1"/>
  <c r="D29" i="1"/>
  <c r="C29" i="1"/>
  <c r="I28" i="1"/>
  <c r="F28" i="1"/>
  <c r="E28" i="1"/>
  <c r="D28" i="1"/>
  <c r="C28" i="1"/>
  <c r="I27" i="1"/>
  <c r="D27" i="1"/>
  <c r="C27" i="1"/>
  <c r="I26" i="1"/>
  <c r="G26" i="1"/>
  <c r="F26" i="1"/>
  <c r="E26" i="1"/>
  <c r="D26" i="1"/>
  <c r="C26" i="1"/>
  <c r="I25" i="1"/>
  <c r="G25" i="1"/>
  <c r="F25" i="1"/>
  <c r="E25" i="1"/>
  <c r="D25" i="1"/>
  <c r="C25" i="1"/>
  <c r="I24" i="1"/>
  <c r="H24" i="1"/>
  <c r="G24" i="1"/>
  <c r="F24" i="1"/>
  <c r="E24" i="1"/>
  <c r="D24" i="1"/>
  <c r="C24" i="1"/>
  <c r="I20" i="1"/>
  <c r="H20" i="1"/>
  <c r="G20" i="1"/>
  <c r="F20" i="1"/>
  <c r="E20" i="1"/>
  <c r="D20" i="1"/>
  <c r="C20" i="1"/>
  <c r="I19" i="1"/>
  <c r="H19" i="1"/>
  <c r="F19" i="1"/>
  <c r="E19" i="1"/>
  <c r="D19" i="1"/>
  <c r="C19" i="1"/>
  <c r="I18" i="1"/>
  <c r="H18" i="1"/>
  <c r="G18" i="1"/>
  <c r="F18" i="1"/>
  <c r="E18" i="1"/>
  <c r="D18" i="1"/>
  <c r="C18" i="1"/>
  <c r="I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1" i="1"/>
  <c r="H11" i="1"/>
  <c r="G11" i="1"/>
  <c r="F11" i="1"/>
  <c r="E11" i="1"/>
  <c r="D11" i="1"/>
  <c r="C11" i="1"/>
  <c r="I10" i="1"/>
  <c r="H10" i="1"/>
  <c r="F10" i="1"/>
  <c r="E10" i="1"/>
  <c r="D10" i="1"/>
  <c r="C10" i="1"/>
  <c r="I9" i="1"/>
  <c r="G9" i="1"/>
  <c r="F9" i="1"/>
  <c r="E9" i="1"/>
  <c r="D9" i="1"/>
  <c r="C9" i="1"/>
  <c r="I8" i="1"/>
  <c r="H8" i="1"/>
  <c r="G8" i="1"/>
  <c r="F8" i="1"/>
  <c r="C8" i="1"/>
  <c r="I7" i="1"/>
  <c r="D7" i="1"/>
  <c r="C7" i="1"/>
  <c r="I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<sst xmlns="http://schemas.openxmlformats.org/spreadsheetml/2006/main" count="101" uniqueCount="22">
  <si>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</si>
  <si>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</si>
  <si>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</si>
  <si>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</si>
  <si>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</si>
  <si>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</si>
  <si>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</si>
  <si>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</si>
  <si>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</si>
  <si>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</si>
  <si>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</si>
  <si>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</si>
  <si>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</si>
  <si>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</si>
  <si>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</si>
  <si>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</si>
  <si>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</si>
  <si>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Payroll dates are subject to change.</t>
  </si>
  <si>
    <t>New Chapter Canada, Inc. Payroll Calendar</t>
  </si>
  <si>
    <t>Semi-monthly payroll date</t>
  </si>
  <si>
    <t>Semi-monthly payroll &amp; Bonus payment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</si>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</sst>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"/>
    <numFmt numFmtId="166" formatCode="d"/>
    <numFmt numFmtId="167" formatCode="[$-409]mmmm\ d\,\ yyyy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8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166" fontId="3" fillId="0" borderId="3" xfId="0" applyNumberFormat="1" applyFont="1" applyBorder="1"/>
    <xf numFmtId="165" fontId="3" fillId="0" borderId="0" xfId="0" applyNumberFormat="1" applyFont="1"/>
    <xf numFmtId="1" fontId="2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Border="1"/>
    <xf numFmtId="0" fontId="3" fillId="0" borderId="0" xfId="0" applyFont="1" applyFill="1"/>
    <xf numFmtId="166" fontId="3" fillId="0" borderId="1" xfId="0" applyNumberFormat="1" applyFont="1" applyFill="1" applyBorder="1"/>
    <xf numFmtId="166" fontId="3" fillId="0" borderId="6" xfId="0" applyNumberFormat="1" applyFont="1" applyFill="1" applyBorder="1"/>
    <xf numFmtId="167" fontId="3" fillId="0" borderId="0" xfId="0" applyNumberFormat="1" applyFont="1" applyAlignment="1">
      <alignment horizontal="left"/>
    </xf>
    <xf numFmtId="167" fontId="3" fillId="0" borderId="0" xfId="0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4" xfId="0" applyNumberFormat="1" applyFont="1" applyFill="1" applyBorder="1"/>
    <xf numFmtId="166" fontId="3" fillId="2" borderId="1" xfId="0" applyNumberFormat="1" applyFont="1" applyFill="1" applyBorder="1"/>
    <xf numFmtId="166" fontId="3" fillId="0" borderId="0" xfId="0" applyNumberFormat="1" applyFont="1" applyFill="1" applyBorder="1"/>
    <xf numFmtId="165" fontId="3" fillId="0" borderId="0" xfId="0" applyNumberFormat="1" applyFont="1" applyFill="1" applyBorder="1"/>
    <xf numFmtId="0" fontId="3" fillId="0" borderId="0" xfId="0" applyFont="1" applyFill="1" applyBorder="1"/>
    <xf numFmtId="165" fontId="2" fillId="0" borderId="0" xfId="0" applyNumberFormat="1" applyFont="1"/>
    <xf numFmtId="0" fontId="2" fillId="0" borderId="0" xfId="0" applyFont="1"/>
    <xf numFmtId="166" fontId="3" fillId="3" borderId="1" xfId="0" applyNumberFormat="1" applyFont="1" applyFill="1" applyBorder="1"/>
    <xf numFmtId="166" fontId="3" fillId="0" borderId="5" xfId="0" applyNumberFormat="1" applyFont="1" applyFill="1" applyBorder="1"/>
    <xf numFmtId="165" fontId="2" fillId="0" borderId="0" xfId="0" applyNumberFormat="1" applyFont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3" fillId="0" borderId="8" xfId="0" applyNumberFormat="1" applyFont="1" applyFill="1" applyBorder="1"/>
    <xf numFmtId="166" fontId="5" fillId="0" borderId="2" xfId="0" applyNumberFormat="1" applyFont="1" applyFill="1" applyBorder="1"/>
    <xf numFmtId="166" fontId="3" fillId="3" borderId="2" xfId="0" applyNumberFormat="1" applyFont="1" applyFill="1" applyBorder="1"/>
    <xf numFmtId="166" fontId="3" fillId="2" borderId="2" xfId="0" applyNumberFormat="1" applyFont="1" applyFill="1" applyBorder="1"/>
    <xf numFmtId="166" fontId="3" fillId="0" borderId="9" xfId="0" applyNumberFormat="1" applyFont="1" applyFill="1" applyBorder="1"/>
    <xf numFmtId="166" fontId="3" fillId="0" borderId="10" xfId="0" applyNumberFormat="1" applyFont="1" applyFill="1" applyBorder="1"/>
    <xf numFmtId="166" fontId="3" fillId="0" borderId="11" xfId="0" applyNumberFormat="1" applyFont="1" applyFill="1" applyBorder="1"/>
    <xf numFmtId="166" fontId="3" fillId="2" borderId="10" xfId="0" applyNumberFormat="1" applyFont="1" applyFill="1" applyBorder="1"/>
    <xf numFmtId="166" fontId="3" fillId="2" borderId="11" xfId="0" applyNumberFormat="1" applyFont="1" applyFill="1" applyBorder="1"/>
    <xf numFmtId="166" fontId="3" fillId="2" borderId="6" xfId="0" applyNumberFormat="1" applyFont="1" applyFill="1" applyBorder="1"/>
    <xf numFmtId="166" fontId="3" fillId="3" borderId="10" xfId="0" applyNumberFormat="1" applyFont="1" applyFill="1" applyBorder="1"/>
    <xf numFmtId="166" fontId="3" fillId="3" borderId="4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166" fontId="3" fillId="3" borderId="5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6" fontId="2" fillId="3" borderId="7" xfId="0" applyNumberFormat="1" applyFont="1" applyFill="1" applyBorder="1" applyAlignment="1">
      <alignment horizontal="center"/>
    </xf>
    <xf numFmtId="166" fontId="2" fillId="3" borderId="5" xfId="0" applyNumberFormat="1" applyFont="1" applyFill="1" applyBorder="1" applyAlignment="1">
      <alignment horizontal="center"/>
    </xf>
    <xf numFmtId="166" fontId="3" fillId="0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9FF"/>
      <color rgb="FF99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5" fmlaLink="$A$1" max="9999" min="1900" page="10" val="20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152400</xdr:colOff>
          <xdr:row>0</xdr:row>
          <xdr:rowOff>190500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5"/>
  <sheetViews>
    <sheetView showGridLines="0" tabSelected="1" workbookViewId="0">
      <selection activeCell="C1" sqref="C1:AG1"/>
    </sheetView>
  </sheetViews>
  <sheetFormatPr defaultRowHeight="12.75" x14ac:dyDescent="0.2"/>
  <cols>
    <col min="1" max="1" width="6.7109375" style="2" customWidth="1"/>
    <col min="2" max="33" width="3.7109375" style="2" customWidth="1"/>
    <col min="34" max="34" width="7.42578125" style="2" customWidth="1"/>
    <col min="35" max="35" width="7.5703125" style="2" customWidth="1"/>
    <col min="36" max="16384" width="9.140625" style="2"/>
  </cols>
  <sheetData>
    <row r="1" spans="1:38" ht="18" customHeight="1" x14ac:dyDescent="0.35">
      <c r="A1" s="1">
        <v>2020</v>
      </c>
      <c r="C1" s="45" t="s">
        <v>18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8" ht="18" customHeight="1" x14ac:dyDescent="0.35">
      <c r="A2" s="9"/>
      <c r="C2" s="46" t="s">
        <v>21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8" ht="15.95" customHeight="1" x14ac:dyDescent="0.2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38" s="24" customFormat="1" ht="15.95" customHeight="1" x14ac:dyDescent="0.2">
      <c r="C4" s="47" t="s">
        <v>5</v>
      </c>
      <c r="D4" s="48"/>
      <c r="E4" s="48"/>
      <c r="F4" s="48"/>
      <c r="G4" s="48"/>
      <c r="H4" s="48"/>
      <c r="I4" s="49"/>
      <c r="K4" s="47" t="s">
        <v>8</v>
      </c>
      <c r="L4" s="48"/>
      <c r="M4" s="48"/>
      <c r="N4" s="48"/>
      <c r="O4" s="48"/>
      <c r="P4" s="48"/>
      <c r="Q4" s="49"/>
      <c r="S4" s="47" t="s">
        <v>11</v>
      </c>
      <c r="T4" s="48"/>
      <c r="U4" s="48"/>
      <c r="V4" s="48"/>
      <c r="W4" s="48"/>
      <c r="X4" s="48"/>
      <c r="Y4" s="49"/>
      <c r="AA4" s="47" t="s">
        <v>13</v>
      </c>
      <c r="AB4" s="48"/>
      <c r="AC4" s="48"/>
      <c r="AD4" s="48"/>
      <c r="AE4" s="48"/>
      <c r="AF4" s="48"/>
      <c r="AG4" s="49"/>
    </row>
    <row r="5" spans="1:38" ht="15.95" customHeight="1" x14ac:dyDescent="0.2">
      <c r="B5" s="4"/>
      <c r="C5" s="5" t="s">
        <v>0</v>
      </c>
      <c r="D5" s="5" t="s">
        <v>1</v>
      </c>
      <c r="E5" s="5" t="s">
        <v>2</v>
      </c>
      <c r="F5" s="5" t="s">
        <v>3</v>
      </c>
      <c r="G5" s="5" t="s">
        <v>2</v>
      </c>
      <c r="H5" s="5" t="s">
        <v>4</v>
      </c>
      <c r="I5" s="5" t="s">
        <v>0</v>
      </c>
      <c r="K5" s="29" t="s">
        <v>0</v>
      </c>
      <c r="L5" s="29" t="s">
        <v>1</v>
      </c>
      <c r="M5" s="29" t="s">
        <v>2</v>
      </c>
      <c r="N5" s="29" t="s">
        <v>3</v>
      </c>
      <c r="O5" s="29" t="s">
        <v>2</v>
      </c>
      <c r="P5" s="29" t="s">
        <v>4</v>
      </c>
      <c r="Q5" s="29" t="s">
        <v>0</v>
      </c>
      <c r="R5" s="12"/>
      <c r="S5" s="29" t="s">
        <v>0</v>
      </c>
      <c r="T5" s="29" t="s">
        <v>1</v>
      </c>
      <c r="U5" s="29" t="s">
        <v>2</v>
      </c>
      <c r="V5" s="29" t="s">
        <v>3</v>
      </c>
      <c r="W5" s="29" t="s">
        <v>2</v>
      </c>
      <c r="X5" s="29" t="s">
        <v>4</v>
      </c>
      <c r="Y5" s="29" t="s">
        <v>0</v>
      </c>
      <c r="Z5" s="12"/>
      <c r="AA5" s="30" t="s">
        <v>0</v>
      </c>
      <c r="AB5" s="30" t="s">
        <v>1</v>
      </c>
      <c r="AC5" s="30" t="s">
        <v>2</v>
      </c>
      <c r="AD5" s="30" t="s">
        <v>3</v>
      </c>
      <c r="AE5" s="30" t="s">
        <v>2</v>
      </c>
      <c r="AF5" s="30" t="s">
        <v>4</v>
      </c>
      <c r="AG5" s="30" t="s">
        <v>0</v>
      </c>
    </row>
    <row r="6" spans="1:38" ht="15.95" customHeight="1" thickBot="1" x14ac:dyDescent="0.25">
      <c r="C6" s="13" t="str">
        <f>IF(AND(YEAR(JanSun1)=$A$1,MONTH(JanSun1)=1),JanSun1, "")</f>
        <v/>
      </c>
      <c r="D6" s="32" t="str">
        <f>IF(AND(YEAR(JanSun1+1)=$A$1,MONTH(JanSun1+1)=1),JanSun1+1, "")</f>
        <v/>
      </c>
      <c r="E6" s="17" t="str">
        <f>IF(AND(YEAR(JanSun1+2)=$A$1,MONTH(JanSun1+2)=1),JanSun1+2, "")</f>
        <v/>
      </c>
      <c r="F6" s="17">
        <f>IF(AND(YEAR(JanSun1+3)=$A$1,MONTH(JanSun1+3)=1),JanSun1+3, "")</f>
        <v>43831</v>
      </c>
      <c r="G6" s="13">
        <f>IF(AND(YEAR(JanSun1+4)=$A$1,MONTH(JanSun1+4)=1),JanSun1+4, "")</f>
        <v>43832</v>
      </c>
      <c r="H6" s="17">
        <f>IF(AND(YEAR(JanSun1+5)=$A$1,MONTH(JanSun1+5)=1),JanSun1+5, "")</f>
        <v>43833</v>
      </c>
      <c r="I6" s="13">
        <f>IF(AND(YEAR(JanSun1+6)=$A$1,MONTH(JanSun1+6)=1),JanSun1+6, "")</f>
        <v>43834</v>
      </c>
      <c r="K6" s="13" t="str">
        <f>IF(AND(YEAR(AprSun1)=$A$1,MONTH(AprSun1)=4),AprSun1, "")</f>
        <v/>
      </c>
      <c r="L6" s="17" t="str">
        <f>IF(AND(YEAR(AprSun1+1)=$A$1,MONTH(AprSun1+1)=4),AprSun1+1, "")</f>
        <v/>
      </c>
      <c r="M6" s="17" t="str">
        <f>IF(AND(YEAR(AprSun1+2)=$A$1,MONTH(AprSun1+2)=4),AprSun1+2, "")</f>
        <v/>
      </c>
      <c r="N6" s="17">
        <f>IF(AND(YEAR(AprSun1+3)=$A$1,MONTH(AprSun1+3)=4),AprSun1+3, "")</f>
        <v>43922</v>
      </c>
      <c r="O6" s="17">
        <f>IF(AND(YEAR(AprSun1+4)=$A$1,MONTH(AprSun1+4)=4),AprSun1+4, "")</f>
        <v>43923</v>
      </c>
      <c r="P6" s="17">
        <f>IF(AND(YEAR(AprSun1+5)=$A$1,MONTH(AprSun1+5)=4),AprSun1+5, "")</f>
        <v>43924</v>
      </c>
      <c r="Q6" s="13">
        <f>IF(AND(YEAR(AprSun1+6)=$A$1,MONTH(AprSun1+6)=4),AprSun1+6, "")</f>
        <v>43925</v>
      </c>
      <c r="R6" s="12"/>
      <c r="S6" s="13" t="str">
        <f>IF(AND(YEAR(JulSun1)=$A$1,MONTH(JulSun1)=7),JulSun1, "")</f>
        <v/>
      </c>
      <c r="T6" s="17" t="str">
        <f>IF(AND(YEAR(JulSun1+1)=$A$1,MONTH(JulSun1+1)=7),JulSun1+1, "")</f>
        <v/>
      </c>
      <c r="U6" s="17" t="str">
        <f>IF(AND(YEAR(JulSun1+2)=$A$1,MONTH(JulSun1+2)=7),JulSun1+2, "")</f>
        <v/>
      </c>
      <c r="V6" s="17">
        <f>IF(AND(YEAR(JulSun1+3)=$A$1,MONTH(JulSun1+3)=7),JulSun1+3, "")</f>
        <v>44013</v>
      </c>
      <c r="W6" s="17">
        <f>IF(AND(YEAR(JulSun1+4)=$A$1,MONTH(JulSun1+4)=7),JulSun1+4, "")</f>
        <v>44014</v>
      </c>
      <c r="X6" s="17">
        <f>IF(AND(YEAR(JulSun1+5)=$A$1,MONTH(JulSun1+5)=7),JulSun1+5, "")</f>
        <v>44015</v>
      </c>
      <c r="Y6" s="13">
        <f>IF(AND(YEAR(JulSun1+6)=$A$1,MONTH(JulSun1+6)=7),JulSun1+6, "")</f>
        <v>44016</v>
      </c>
      <c r="Z6" s="12"/>
      <c r="AA6" s="13" t="str">
        <f>IF(AND(YEAR(OctSun1)=$A$1,MONTH(OctSun1)=10),OctSun1, "")</f>
        <v/>
      </c>
      <c r="AB6" s="17" t="str">
        <f>IF(AND(YEAR(OctSun1+1)=$A$1,MONTH(OctSun1+1)=10),OctSun1+1, "")</f>
        <v/>
      </c>
      <c r="AC6" s="17" t="str">
        <f>IF(AND(YEAR(OctSun1+2)=$A$1,MONTH(OctSun1+2)=10),OctSun1+2, "")</f>
        <v/>
      </c>
      <c r="AD6" s="17" t="str">
        <f>IF(AND(YEAR(OctSun1+3)=$A$1,MONTH(OctSun1+3)=10),OctSun1+3, "")</f>
        <v/>
      </c>
      <c r="AE6" s="17">
        <f>IF(AND(YEAR(OctSun1+4)=$A$1,MONTH(OctSun1+4)=10),OctSun1+4, "")</f>
        <v>44105</v>
      </c>
      <c r="AF6" s="17">
        <f>IF(AND(YEAR(OctSun1+5)=$A$1,MONTH(OctSun1+5)=10),OctSun1+5, "")</f>
        <v>44106</v>
      </c>
      <c r="AG6" s="26">
        <f>IF(AND(YEAR(OctSun1+6)=$A$1,MONTH(OctSun1+6)=10),OctSun1+6, "")</f>
        <v>44107</v>
      </c>
      <c r="AI6" s="15"/>
    </row>
    <row r="7" spans="1:38" ht="15.95" customHeight="1" thickBot="1" x14ac:dyDescent="0.25">
      <c r="C7" s="13">
        <f>IF(AND(YEAR(JanSun1+7)=$A$1,MONTH(JanSun1+7)=1),JanSun1+7, "")</f>
        <v>43835</v>
      </c>
      <c r="D7" s="17">
        <f>IF(AND(YEAR(JanSun1+8)=$A$1,MONTH(JanSun1+8)=1),JanSun1+8, "")</f>
        <v>43836</v>
      </c>
      <c r="E7" s="31">
        <f>IF(AND(YEAR(JanSun1+9)=$A$1,MONTH(JanSun1+9)=1),JanSun1+9, "")</f>
        <v>43837</v>
      </c>
      <c r="F7" s="35">
        <f>IF(AND(YEAR(JanSun1+10)=$A$1,MONTH(JanSun1+10)=1),JanSun1+10, "")</f>
        <v>43838</v>
      </c>
      <c r="G7" s="26">
        <f>IF(AND(YEAR(JanSun1+11)=$A$1,MONTH(JanSun1+11)=1),JanSun1+11, "")</f>
        <v>43839</v>
      </c>
      <c r="H7" s="17">
        <f>IF(AND(YEAR(JanSun1+12)=$A$1,MONTH(JanSun1+12)=1),JanSun1+12, "")</f>
        <v>43840</v>
      </c>
      <c r="I7" s="13">
        <f>IF(AND(YEAR(JanSun1+13)=$A$1,MONTH(JanSun1+13)=1),JanSun1+13, "")</f>
        <v>43841</v>
      </c>
      <c r="K7" s="13">
        <f>IF(AND(YEAR(AprSun1+7)=$A$1,MONTH(AprSun1+7)=4),AprSun1+7, "")</f>
        <v>43926</v>
      </c>
      <c r="L7" s="31">
        <f>IF(AND(YEAR(AprSun1+8)=$A$1,MONTH(AprSun1+8)=4),AprSun1+8, "")</f>
        <v>43927</v>
      </c>
      <c r="M7" s="35">
        <f>IF(AND(YEAR(AprSun1+9)=$A$1,MONTH(AprSun1+9)=4),AprSun1+9, "")</f>
        <v>43928</v>
      </c>
      <c r="N7" s="37">
        <f>IF(AND(YEAR(AprSun1+10)=$A$1,MONTH(AprSun1+10)=4),AprSun1+10, "")</f>
        <v>43929</v>
      </c>
      <c r="O7" s="17">
        <f>IF(AND(YEAR(AprSun1+11)=$A$1,MONTH(AprSun1+11)=4),AprSun1+11, "")</f>
        <v>43930</v>
      </c>
      <c r="P7" s="17">
        <f>IF(AND(YEAR(AprSun1+12)=$A$1,MONTH(AprSun1+12)=4),AprSun1+12, "")</f>
        <v>43931</v>
      </c>
      <c r="Q7" s="13">
        <f>IF(AND(YEAR(AprSun1+13)=$A$1,MONTH(AprSun1+13)=4),AprSun1+13, "")</f>
        <v>43932</v>
      </c>
      <c r="R7" s="12"/>
      <c r="S7" s="18">
        <f>IF(AND(YEAR(JulSun1+7)=$A$1,MONTH(JulSun1+7)=7),JulSun1+7, "")</f>
        <v>44017</v>
      </c>
      <c r="T7" s="17">
        <f>IF(AND(YEAR(JulSun1+8)=$A$1,MONTH(JulSun1+8)=7),JulSun1+8, "")</f>
        <v>44018</v>
      </c>
      <c r="U7" s="31">
        <f>IF(AND(YEAR(JulSun1+9)=$A$1,MONTH(JulSun1+9)=7),JulSun1+9, "")</f>
        <v>44019</v>
      </c>
      <c r="V7" s="35">
        <f>IF(AND(YEAR(JulSun1+10)=$A$1,MONTH(JulSun1+10)=7),JulSun1+10, "")</f>
        <v>44020</v>
      </c>
      <c r="W7" s="37">
        <f>IF(AND(YEAR(JulSun1+11)=$A$1,MONTH(JulSun1+11)=7),JulSun1+11, "")</f>
        <v>44021</v>
      </c>
      <c r="X7" s="17">
        <f>IF(AND(YEAR(JulSun1+12)=$A$1,MONTH(JulSun1+12)=7),JulSun1+12, "")</f>
        <v>44022</v>
      </c>
      <c r="Y7" s="13">
        <f>IF(AND(YEAR(JulSun1+13)=$A$1,MONTH(JulSun1+13)=7),JulSun1+13, "")</f>
        <v>44023</v>
      </c>
      <c r="Z7" s="12"/>
      <c r="AA7" s="13">
        <f>IF(AND(YEAR(OctSun1+7)=$A$1,MONTH(OctSun1+7)=10),OctSun1+7, "")</f>
        <v>44108</v>
      </c>
      <c r="AB7" s="17">
        <f>IF(AND(YEAR(OctSun1+8)=$A$1,MONTH(OctSun1+8)=10),OctSun1+8, "")</f>
        <v>44109</v>
      </c>
      <c r="AC7" s="17">
        <f>IF(AND(YEAR(OctSun1+9)=$A$1,MONTH(OctSun1+9)=10),OctSun1+9, "")</f>
        <v>44110</v>
      </c>
      <c r="AD7" s="31">
        <f>IF(AND(YEAR(OctSun1+10)=$A$1,MONTH(OctSun1+10)=10),OctSun1+10, "")</f>
        <v>44111</v>
      </c>
      <c r="AE7" s="35">
        <f>IF(AND(YEAR(OctSun1+11)=$A$1,MONTH(OctSun1+11)=10),OctSun1+11, "")</f>
        <v>44112</v>
      </c>
      <c r="AF7" s="37">
        <f>IF(AND(YEAR(OctSun1+12)=$A$1,MONTH(OctSun1+12)=10),OctSun1+12, "")</f>
        <v>44113</v>
      </c>
      <c r="AG7" s="26">
        <f>IF(AND(YEAR(OctSun1+13)=$A$1,MONTH(OctSun1+13)=10),OctSun1+13, "")</f>
        <v>44114</v>
      </c>
      <c r="AI7" s="16"/>
      <c r="AJ7" s="12"/>
      <c r="AK7" s="12"/>
    </row>
    <row r="8" spans="1:38" ht="15.95" customHeight="1" thickBot="1" x14ac:dyDescent="0.25">
      <c r="C8" s="13">
        <f>IF(AND(YEAR(JanSun1+14)=$A$1,MONTH(JanSun1+14)=1),JanSun1+14, "")</f>
        <v>43842</v>
      </c>
      <c r="D8" s="17">
        <f>IF(AND(YEAR(JanSun1+15)=$A$1,MONTH(JanSun1+15)=1),JanSun1+15, "")</f>
        <v>43843</v>
      </c>
      <c r="E8" s="31">
        <f>IF(AND(YEAR(JanSun1+16)=$A$1,MONTH(JanSun1+16)=1),JanSun1+16, "")</f>
        <v>43844</v>
      </c>
      <c r="F8" s="33">
        <f>IF(AND(YEAR(JanSun1+17)=$A$1,MONTH(JanSun1+17)=1),JanSun1+17, "")</f>
        <v>43845</v>
      </c>
      <c r="G8" s="13">
        <f>IF(AND(YEAR(JanSun1+18)=$A$1,MONTH(JanSun1+18)=1),JanSun1+18, "")</f>
        <v>43846</v>
      </c>
      <c r="H8" s="17">
        <f>IF(AND(YEAR(JanSun1+19)=$A$1,MONTH(JanSun1+19)=1),JanSun1+19, "")</f>
        <v>43847</v>
      </c>
      <c r="I8" s="13">
        <f>IF(AND(YEAR(JanSun1+20)=$A$1,MONTH(JanSun1+20)=1),JanSun1+20, "")</f>
        <v>43848</v>
      </c>
      <c r="K8" s="13">
        <f>IF(AND(YEAR(AprSun1+14)=$A$1,MONTH(AprSun1+14)=4),AprSun1+14, "")</f>
        <v>43933</v>
      </c>
      <c r="L8" s="13">
        <f>IF(AND(YEAR(AprSun1+15)=$A$1,MONTH(AprSun1+15)=4),AprSun1+15, "")</f>
        <v>43934</v>
      </c>
      <c r="M8" s="36">
        <f>IF(AND(YEAR(AprSun1+16)=$A$1,MONTH(AprSun1+16)=4),AprSun1+16, "")</f>
        <v>43935</v>
      </c>
      <c r="N8" s="33">
        <f>IF(AND(YEAR(AprSun1+17)=$A$1,MONTH(AprSun1+17)=4),AprSun1+17, "")</f>
        <v>43936</v>
      </c>
      <c r="O8" s="17">
        <f>IF(AND(YEAR(AprSun1+18)=$A$1,MONTH(AprSun1+18)=4),AprSun1+18, "")</f>
        <v>43937</v>
      </c>
      <c r="P8" s="17">
        <f>IF(AND(YEAR(AprSun1+19)=$A$1,MONTH(AprSun1+19)=4),AprSun1+19, "")</f>
        <v>43938</v>
      </c>
      <c r="Q8" s="13">
        <f>IF(AND(YEAR(AprSun1+20)=$A$1,MONTH(AprSun1+20)=4),AprSun1+20, "")</f>
        <v>43939</v>
      </c>
      <c r="R8" s="12"/>
      <c r="S8" s="13">
        <f>IF(AND(YEAR(JulSun1+14)=$A$1,MONTH(JulSun1+14)=7),JulSun1+14, "")</f>
        <v>44024</v>
      </c>
      <c r="T8" s="17">
        <f>IF(AND(YEAR(JulSun1+15)=$A$1,MONTH(JulSun1+15)=7),JulSun1+15, "")</f>
        <v>44025</v>
      </c>
      <c r="U8" s="17">
        <f>IF(AND(YEAR(JulSun1+16)=$A$1,MONTH(JulSun1+16)=7),JulSun1+16, "")</f>
        <v>44026</v>
      </c>
      <c r="V8" s="41">
        <f>IF(AND(YEAR(JulSun1+17)=$A$1,MONTH(JulSun1+17)=7),JulSun1+17, "")</f>
        <v>44027</v>
      </c>
      <c r="W8" s="17">
        <f>IF(AND(YEAR(JulSun1+18)=$A$1,MONTH(JulSun1+18)=7),JulSun1+18, "")</f>
        <v>44028</v>
      </c>
      <c r="X8" s="17">
        <f>IF(AND(YEAR(JulSun1+19)=$A$1,MONTH(JulSun1+19)=7),JulSun1+19, "")</f>
        <v>44029</v>
      </c>
      <c r="Y8" s="13">
        <f>IF(AND(YEAR(JulSun1+20)=$A$1,MONTH(JulSun1+20)=7),JulSun1+20, "")</f>
        <v>44030</v>
      </c>
      <c r="Z8" s="12"/>
      <c r="AA8" s="13">
        <f>IF(AND(YEAR(OctSun1+14)=$A$1,MONTH(OctSun1+14)=10),OctSun1+14, "")</f>
        <v>44115</v>
      </c>
      <c r="AB8" s="17">
        <f>IF(AND(YEAR(OctSun1+15)=$A$1,MONTH(OctSun1+15)=10),OctSun1+15, "")</f>
        <v>44116</v>
      </c>
      <c r="AC8" s="17">
        <f>IF(AND(YEAR(OctSun1+16)=$A$1,MONTH(OctSun1+16)=10),OctSun1+16, "")</f>
        <v>44117</v>
      </c>
      <c r="AD8" s="17">
        <f>IF(AND(YEAR(OctSun1+17)=$A$1,MONTH(OctSun1+17)=10),OctSun1+17, "")</f>
        <v>44118</v>
      </c>
      <c r="AE8" s="41">
        <f>IF(AND(YEAR(OctSun1+18)=$A$1,MONTH(OctSun1+18)=10),OctSun1+18, "")</f>
        <v>44119</v>
      </c>
      <c r="AF8" s="17">
        <f>IF(AND(YEAR(OctSun1+19)=$A$1,MONTH(OctSun1+19)=10),OctSun1+19, "")</f>
        <v>44120</v>
      </c>
      <c r="AG8" s="26">
        <f>IF(AND(YEAR(OctSun1+20)=$A$1,MONTH(OctSun1+20)=10),OctSun1+20, "")</f>
        <v>44121</v>
      </c>
      <c r="AI8" s="16"/>
      <c r="AJ8" s="12"/>
      <c r="AK8" s="12"/>
    </row>
    <row r="9" spans="1:38" ht="15.95" customHeight="1" thickBot="1" x14ac:dyDescent="0.25">
      <c r="C9" s="18">
        <f>IF(AND(YEAR(JanSun1+21)=$A$1,MONTH(JanSun1+21)=1),JanSun1+21, "")</f>
        <v>43849</v>
      </c>
      <c r="D9" s="13">
        <f>IF(AND(YEAR(JanSun1+22)=$A$1,MONTH(JanSun1+22)=1),JanSun1+22, "")</f>
        <v>43850</v>
      </c>
      <c r="E9" s="37">
        <f>IF(AND(YEAR(JanSun1+23)=$A$1,MONTH(JanSun1+23)=1),JanSun1+23, "")</f>
        <v>43851</v>
      </c>
      <c r="F9" s="13">
        <f>IF(AND(YEAR(JanSun1+24)=$A$1,MONTH(JanSun1+24)=1),JanSun1+24, "")</f>
        <v>43852</v>
      </c>
      <c r="G9" s="18">
        <f>IF(AND(YEAR(JanSun1+25)=$A$1,MONTH(JanSun1+25)=1),JanSun1+25, "")</f>
        <v>43853</v>
      </c>
      <c r="H9" s="35">
        <f>IF(AND(YEAR(JanSun1+26)=$A$1,MONTH(JanSun1+26)=1),JanSun1+26, "")</f>
        <v>43854</v>
      </c>
      <c r="I9" s="26">
        <f>IF(AND(YEAR(JanSun1+27)=$A$1,MONTH(JanSun1+27)=1),JanSun1+27, "")</f>
        <v>43855</v>
      </c>
      <c r="K9" s="13">
        <f>IF(AND(YEAR(AprSun1+21)=$A$1,MONTH(AprSun1+21)=4),AprSun1+21, "")</f>
        <v>43940</v>
      </c>
      <c r="L9" s="17">
        <f>IF(AND(YEAR(AprSun1+22)=$A$1,MONTH(AprSun1+22)=4),AprSun1+22, "")</f>
        <v>43941</v>
      </c>
      <c r="M9" s="31">
        <f>IF(AND(YEAR(AprSun1+23)=$A$1,MONTH(AprSun1+23)=4),AprSun1+23, "")</f>
        <v>43942</v>
      </c>
      <c r="N9" s="18">
        <f>IF(AND(YEAR(AprSun1+24)=$A$1,MONTH(AprSun1+24)=4),AprSun1+24, "")</f>
        <v>43943</v>
      </c>
      <c r="O9" s="35">
        <f>IF(AND(YEAR(AprSun1+25)=$A$1,MONTH(AprSun1+25)=4),AprSun1+25, "")</f>
        <v>43944</v>
      </c>
      <c r="P9" s="17">
        <f>IF(AND(YEAR(AprSun1+26)=$A$1,MONTH(AprSun1+26)=4),AprSun1+26, "")</f>
        <v>43945</v>
      </c>
      <c r="Q9" s="13">
        <f>IF(AND(YEAR(AprSun1+27)=$A$1,MONTH(AprSun1+27)=4),AprSun1+27, "")</f>
        <v>43946</v>
      </c>
      <c r="R9" s="12"/>
      <c r="S9" s="13">
        <f>IF(AND(YEAR(JulSun1+21)=$A$1,MONTH(JulSun1+21)=7),JulSun1+21, "")</f>
        <v>44031</v>
      </c>
      <c r="T9" s="17">
        <f>IF(AND(YEAR(JulSun1+22)=$A$1,MONTH(JulSun1+22)=7),JulSun1+22, "")</f>
        <v>44032</v>
      </c>
      <c r="U9" s="17">
        <f>IF(AND(YEAR(JulSun1+23)=$A$1,MONTH(JulSun1+23)=7),JulSun1+23, "")</f>
        <v>44033</v>
      </c>
      <c r="V9" s="17">
        <f>IF(AND(YEAR(JulSun1+24)=$A$1,MONTH(JulSun1+24)=7),JulSun1+24, "")</f>
        <v>44034</v>
      </c>
      <c r="W9" s="31">
        <f>IF(AND(YEAR(JulSun1+25)=$A$1,MONTH(JulSun1+25)=7),JulSun1+25, "")</f>
        <v>44035</v>
      </c>
      <c r="X9" s="35">
        <f>IF(AND(YEAR(JulSun1+26)=$A$1,MONTH(JulSun1+26)=7),JulSun1+26, "")</f>
        <v>44036</v>
      </c>
      <c r="Y9" s="26">
        <f>IF(AND(YEAR(JulSun1+27)=$A$1,MONTH(JulSun1+27)=7),JulSun1+27, "")</f>
        <v>44037</v>
      </c>
      <c r="Z9" s="12"/>
      <c r="AA9" s="13">
        <f>IF(AND(YEAR(OctSun1+21)=$A$1,MONTH(OctSun1+21)=10),OctSun1+21, "")</f>
        <v>44122</v>
      </c>
      <c r="AB9" s="17">
        <f>IF(AND(YEAR(OctSun1+22)=$A$1,MONTH(OctSun1+22)=10),OctSun1+22, "")</f>
        <v>44123</v>
      </c>
      <c r="AC9" s="17">
        <f>IF(AND(YEAR(OctSun1+23)=$A$1,MONTH(OctSun1+23)=10),OctSun1+23, "")</f>
        <v>44124</v>
      </c>
      <c r="AD9" s="17">
        <f>IF(AND(YEAR(OctSun1+24)=$A$1,MONTH(OctSun1+24)=10),OctSun1+24, "")</f>
        <v>44125</v>
      </c>
      <c r="AE9" s="31">
        <f>IF(AND(YEAR(OctSun1+25)=$A$1,MONTH(OctSun1+25)=10),OctSun1+25, "")</f>
        <v>44126</v>
      </c>
      <c r="AF9" s="35">
        <f>IF(AND(YEAR(OctSun1+26)=$A$1,MONTH(OctSun1+26)=10),OctSun1+26, "")</f>
        <v>44127</v>
      </c>
      <c r="AG9" s="26">
        <f>IF(AND(YEAR(OctSun1+27)=$A$1,MONTH(OctSun1+27)=10),OctSun1+27, "")</f>
        <v>44128</v>
      </c>
      <c r="AI9" s="16"/>
      <c r="AJ9" s="12"/>
      <c r="AK9" s="12"/>
    </row>
    <row r="10" spans="1:38" ht="15.95" customHeight="1" x14ac:dyDescent="0.2">
      <c r="C10" s="13">
        <f>IF(AND(YEAR(JanSun1+28)=$A$1,MONTH(JanSun1+28)=1),JanSun1+28, "")</f>
        <v>43856</v>
      </c>
      <c r="D10" s="36">
        <f>IF(AND(YEAR(JanSun1+29)=$A$1,MONTH(JanSun1+29)=1),JanSun1+29, "")</f>
        <v>43857</v>
      </c>
      <c r="E10" s="17">
        <f>IF(AND(YEAR(JanSun1+30)=$A$1,MONTH(JanSun1+30)=1),JanSun1+30, "")</f>
        <v>43858</v>
      </c>
      <c r="F10" s="13">
        <f>IF(AND(YEAR(JanSun1+31)=$A$1,MONTH(JanSun1+31)=1),JanSun1+31, "")</f>
        <v>43859</v>
      </c>
      <c r="G10" s="13">
        <f>IF(AND(YEAR(JanSun1+32)=$A$1,MONTH(JanSun1+32)=1),JanSun1+32, "")</f>
        <v>43860</v>
      </c>
      <c r="H10" s="40">
        <f>IF(AND(YEAR(JanSun1+33)=$A$1,MONTH(JanSun1+33)=1),JanSun1+33, "")</f>
        <v>43861</v>
      </c>
      <c r="I10" s="13" t="str">
        <f>IF(AND(YEAR(JanSun1+34)=$A$1,MONTH(JanSun1+34)=1),JanSun1+34, "")</f>
        <v/>
      </c>
      <c r="K10" s="13">
        <f>IF(AND(YEAR(AprSun1+28)=$A$1,MONTH(AprSun1+28)=4),AprSun1+28, "")</f>
        <v>43947</v>
      </c>
      <c r="L10" s="17">
        <f>IF(AND(YEAR(AprSun1+29)=$A$1,MONTH(AprSun1+29)=4),AprSun1+29, "")</f>
        <v>43948</v>
      </c>
      <c r="M10" s="17">
        <f>IF(AND(YEAR(AprSun1+30)=$A$1,MONTH(AprSun1+30)=4),AprSun1+30, "")</f>
        <v>43949</v>
      </c>
      <c r="N10" s="36">
        <f>IF(AND(YEAR(AprSun1+31)=$A$1,MONTH(AprSun1+31)=4),AprSun1+31, "")</f>
        <v>43950</v>
      </c>
      <c r="O10" s="34">
        <f>IF(AND(YEAR(AprSun1+32)=$A$1,MONTH(AprSun1+32)=4),AprSun1+32, "")</f>
        <v>43951</v>
      </c>
      <c r="P10" s="17" t="str">
        <f>IF(AND(YEAR(AprSun1+33)=$A$1,MONTH(AprSun1+33)=4),AprSun1+33, "")</f>
        <v/>
      </c>
      <c r="Q10" s="13" t="str">
        <f>IF(AND(YEAR(AprSun1+34)=$A$1,MONTH(AprSun1+34)=4),AprSun1+34, "")</f>
        <v/>
      </c>
      <c r="R10" s="12"/>
      <c r="S10" s="13">
        <f>IF(AND(YEAR(JulSun1+28)=$A$1,MONTH(JulSun1+28)=7),JulSun1+28, "")</f>
        <v>44038</v>
      </c>
      <c r="T10" s="17">
        <f>IF(AND(YEAR(JulSun1+29)=$A$1,MONTH(JulSun1+29)=7),JulSun1+29, "")</f>
        <v>44039</v>
      </c>
      <c r="U10" s="17">
        <f>IF(AND(YEAR(JulSun1+30)=$A$1,MONTH(JulSun1+30)=7),JulSun1+30, "")</f>
        <v>44040</v>
      </c>
      <c r="V10" s="17">
        <f>IF(AND(YEAR(JulSun1+31)=$A$1,MONTH(JulSun1+31)=7),JulSun1+31, "")</f>
        <v>44041</v>
      </c>
      <c r="W10" s="17">
        <f>IF(AND(YEAR(JulSun1+32)=$A$1,MONTH(JulSun1+32)=7),JulSun1+32, "")</f>
        <v>44042</v>
      </c>
      <c r="X10" s="40">
        <f>IF(AND(YEAR(JulSun1+33)=$A$1,MONTH(JulSun1+33)=7),JulSun1+33, "")</f>
        <v>44043</v>
      </c>
      <c r="Y10" s="13" t="str">
        <f>IF(AND(YEAR(JulSun1+34)=$A$1,MONTH(JulSun1+34)=7),JulSun1+34, "")</f>
        <v/>
      </c>
      <c r="Z10" s="12"/>
      <c r="AA10" s="13">
        <f>IF(AND(YEAR(OctSun1+28)=$A$1,MONTH(OctSun1+28)=10),OctSun1+28, "")</f>
        <v>44129</v>
      </c>
      <c r="AB10" s="17">
        <f>IF(AND(YEAR(OctSun1+29)=$A$1,MONTH(OctSun1+29)=10),OctSun1+29, "")</f>
        <v>44130</v>
      </c>
      <c r="AC10" s="17">
        <f>IF(AND(YEAR(OctSun1+30)=$A$1,MONTH(OctSun1+30)=10),OctSun1+30, "")</f>
        <v>44131</v>
      </c>
      <c r="AD10" s="17">
        <f>IF(AND(YEAR(OctSun1+31)=$A$1,MONTH(OctSun1+31)=10),OctSun1+31, "")</f>
        <v>44132</v>
      </c>
      <c r="AE10" s="17">
        <f>IF(AND(YEAR(OctSun1+32)=$A$1,MONTH(OctSun1+32)=10),OctSun1+32, "")</f>
        <v>44133</v>
      </c>
      <c r="AF10" s="40">
        <f>IF(AND(YEAR(OctSun1+33)=$A$1,MONTH(OctSun1+33)=10),OctSun1+33, "")</f>
        <v>44134</v>
      </c>
      <c r="AG10" s="26">
        <f>IF(AND(YEAR(OctSun1+34)=$A$1,MONTH(OctSun1+34)=10),OctSun1+34, "")</f>
        <v>44135</v>
      </c>
      <c r="AI10" s="16"/>
      <c r="AJ10" s="12"/>
      <c r="AK10" s="12"/>
    </row>
    <row r="11" spans="1:38" ht="15.95" customHeight="1" x14ac:dyDescent="0.2">
      <c r="C11" s="13" t="str">
        <f>IF(AND(YEAR(JanSun1+35)=$A$1,MONTH(JanSun1+35)=1),JanSun1+35, "")</f>
        <v/>
      </c>
      <c r="D11" s="32" t="str">
        <f>IF(AND(YEAR(JanSun1+36)=$A$1,MONTH(JanSun1+36)=1),JanSun1+36, "")</f>
        <v/>
      </c>
      <c r="E11" s="17" t="str">
        <f>IF(AND(YEAR(JanSun1+37)=$A$1,MONTH(JanSun1+37)=1),JanSun1+37, "")</f>
        <v/>
      </c>
      <c r="F11" s="13" t="str">
        <f>IF(AND(YEAR(JanSun1+38)=$A$1,MONTH(JanSun1+38)=1),JanSun1+38, "")</f>
        <v/>
      </c>
      <c r="G11" s="13" t="str">
        <f>IF(AND(YEAR(JanSun1+39)=$A$1,MONTH(JanSun1+39)=1),JanSun1+39, "")</f>
        <v/>
      </c>
      <c r="H11" s="17" t="str">
        <f>IF(AND(YEAR(JanSun1+40)=$A$1,MONTH(JanSun1+40)=1),JanSun1+40, "")</f>
        <v/>
      </c>
      <c r="I11" s="13" t="str">
        <f>IF(AND(YEAR(JanSun1+41)=$A$1,MONTH(JanSun1+41)=1),JanSun1+41, "")</f>
        <v/>
      </c>
      <c r="K11" s="13" t="str">
        <f>IF(AND(YEAR(AprSun1+35)=$A$1,MONTH(AprSun1+35)=4),AprSun1+35, "")</f>
        <v/>
      </c>
      <c r="L11" s="17" t="str">
        <f>IF(AND(YEAR(AprSun1+36)=$A$1,MONTH(AprSun1+36)=4),AprSun1+36, "")</f>
        <v/>
      </c>
      <c r="M11" s="17" t="str">
        <f>IF(AND(YEAR(AprSun1+37)=$A$1,MONTH(AprSun1+37)=4),AprSun1+37, "")</f>
        <v/>
      </c>
      <c r="N11" s="17" t="str">
        <f>IF(AND(YEAR(AprSun1+38)=$A$1,MONTH(AprSun1+38)=4),AprSun1+38, "")</f>
        <v/>
      </c>
      <c r="O11" s="17" t="str">
        <f>IF(AND(YEAR(AprSun1+39)=$A$1,MONTH(AprSun1+39)=4),AprSun1+39, "")</f>
        <v/>
      </c>
      <c r="P11" s="17" t="str">
        <f>IF(AND(YEAR(AprSun1+40)=$A$1,MONTH(AprSun1+40)=4),AprSun1+40, "")</f>
        <v/>
      </c>
      <c r="Q11" s="13" t="str">
        <f>IF(AND(YEAR(AprSun1+41)=$A$1,MONTH(AprSun1+41)=4),AprSun1+41, "")</f>
        <v/>
      </c>
      <c r="R11" s="12"/>
      <c r="S11" s="13" t="str">
        <f>IF(AND(YEAR(JulSun1+35)=$A$1,MONTH(JulSun1+35)=7),JulSun1+35, "")</f>
        <v/>
      </c>
      <c r="T11" s="17" t="str">
        <f>IF(AND(YEAR(JulSun1+36)=$A$1,MONTH(JulSun1+36)=7),JulSun1+36, "")</f>
        <v/>
      </c>
      <c r="U11" s="17" t="str">
        <f>IF(AND(YEAR(JulSun1+37)=$A$1,MONTH(JulSun1+37)=7),JulSun1+37, "")</f>
        <v/>
      </c>
      <c r="V11" s="17" t="str">
        <f>IF(AND(YEAR(JulSun1+38)=$A$1,MONTH(JulSun1+38)=7),JulSun1+38, "")</f>
        <v/>
      </c>
      <c r="W11" s="17" t="str">
        <f>IF(AND(YEAR(JulSun1+39)=$A$1,MONTH(JulSun1+39)=7),JulSun1+39, "")</f>
        <v/>
      </c>
      <c r="X11" s="13" t="str">
        <f>IF(AND(YEAR(JulSun1+40)=$A$1,MONTH(JulSun1+40)=7),JulSun1+40, "")</f>
        <v/>
      </c>
      <c r="Y11" s="13" t="str">
        <f>IF(AND(YEAR(JulSun1+41)=$A$1,MONTH(JulSun1+41)=7),JulSun1+41, "")</f>
        <v/>
      </c>
      <c r="Z11" s="12"/>
      <c r="AA11" s="13" t="str">
        <f>IF(AND(YEAR(OctSun1+35)=$A$1,MONTH(OctSun1+35)=10),OctSun1+35, "")</f>
        <v/>
      </c>
      <c r="AB11" s="13" t="str">
        <f>IF(AND(YEAR(OctSun1+36)=$A$1,MONTH(OctSun1+36)=10),OctSun1+36, "")</f>
        <v/>
      </c>
      <c r="AC11" s="13" t="str">
        <f>IF(AND(YEAR(OctSun1+37)=$A$1,MONTH(OctSun1+37)=10),OctSun1+37, "")</f>
        <v/>
      </c>
      <c r="AD11" s="13" t="str">
        <f>IF(AND(YEAR(OctSun1+38)=$A$1,MONTH(OctSun1+38)=10),OctSun1+38, "")</f>
        <v/>
      </c>
      <c r="AE11" s="13" t="str">
        <f>IF(AND(YEAR(OctSun1+39)=$A$1,MONTH(OctSun1+39)=10),OctSun1+39, "")</f>
        <v/>
      </c>
      <c r="AF11" s="13" t="str">
        <f>IF(AND(YEAR(OctSun1+40)=$A$1,MONTH(OctSun1+40)=10),OctSun1+40, "")</f>
        <v/>
      </c>
      <c r="AG11" s="13" t="str">
        <f>IF(AND(YEAR(OctSun1+41)=$A$1,MONTH(OctSun1+41)=10),OctSun1+41, "")</f>
        <v/>
      </c>
      <c r="AI11" s="16"/>
      <c r="AJ11" s="12"/>
      <c r="AK11" s="12"/>
    </row>
    <row r="12" spans="1:38" ht="15.95" customHeight="1" x14ac:dyDescent="0.2">
      <c r="A12" s="12"/>
      <c r="B12" s="22"/>
      <c r="C12" s="7"/>
      <c r="D12" s="7"/>
      <c r="E12" s="7"/>
      <c r="F12" s="7"/>
      <c r="G12" s="7"/>
      <c r="H12" s="7"/>
      <c r="I12" s="7"/>
      <c r="J12" s="6"/>
      <c r="K12" s="7"/>
      <c r="L12" s="7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7"/>
      <c r="Y12" s="7"/>
      <c r="Z12" s="6"/>
      <c r="AA12" s="11"/>
      <c r="AB12" s="11"/>
      <c r="AC12" s="11"/>
      <c r="AD12" s="11"/>
      <c r="AE12" s="11"/>
      <c r="AF12" s="11"/>
      <c r="AG12" s="11"/>
      <c r="AH12" s="22"/>
      <c r="AI12" s="16"/>
      <c r="AJ12" s="12"/>
      <c r="AK12" s="12"/>
    </row>
    <row r="13" spans="1:38" ht="15.95" customHeight="1" x14ac:dyDescent="0.2">
      <c r="C13" s="42" t="s">
        <v>6</v>
      </c>
      <c r="D13" s="43"/>
      <c r="E13" s="43"/>
      <c r="F13" s="43"/>
      <c r="G13" s="43"/>
      <c r="H13" s="43"/>
      <c r="I13" s="44"/>
      <c r="K13" s="42" t="s">
        <v>9</v>
      </c>
      <c r="L13" s="43"/>
      <c r="M13" s="43"/>
      <c r="N13" s="43"/>
      <c r="O13" s="43"/>
      <c r="P13" s="43"/>
      <c r="Q13" s="44"/>
      <c r="S13" s="42" t="s">
        <v>14</v>
      </c>
      <c r="T13" s="43"/>
      <c r="U13" s="43"/>
      <c r="V13" s="43"/>
      <c r="W13" s="43"/>
      <c r="X13" s="43"/>
      <c r="Y13" s="44"/>
      <c r="AA13" s="42" t="s">
        <v>15</v>
      </c>
      <c r="AB13" s="43"/>
      <c r="AC13" s="43"/>
      <c r="AD13" s="43"/>
      <c r="AE13" s="43"/>
      <c r="AF13" s="43"/>
      <c r="AG13" s="44"/>
      <c r="AI13" s="16"/>
      <c r="AJ13" s="12"/>
      <c r="AK13" s="12"/>
    </row>
    <row r="14" spans="1:38" ht="15.95" customHeight="1" thickBot="1" x14ac:dyDescent="0.25">
      <c r="B14" s="4"/>
      <c r="C14" s="29" t="s">
        <v>0</v>
      </c>
      <c r="D14" s="29" t="s">
        <v>1</v>
      </c>
      <c r="E14" s="29" t="s">
        <v>2</v>
      </c>
      <c r="F14" s="29" t="s">
        <v>3</v>
      </c>
      <c r="G14" s="29" t="s">
        <v>2</v>
      </c>
      <c r="H14" s="29" t="s">
        <v>4</v>
      </c>
      <c r="I14" s="29" t="s">
        <v>0</v>
      </c>
      <c r="J14" s="12"/>
      <c r="K14" s="29" t="s">
        <v>0</v>
      </c>
      <c r="L14" s="30" t="s">
        <v>1</v>
      </c>
      <c r="M14" s="30" t="s">
        <v>2</v>
      </c>
      <c r="N14" s="30" t="s">
        <v>3</v>
      </c>
      <c r="O14" s="30" t="s">
        <v>2</v>
      </c>
      <c r="P14" s="29" t="s">
        <v>4</v>
      </c>
      <c r="Q14" s="29" t="s">
        <v>0</v>
      </c>
      <c r="R14" s="12"/>
      <c r="S14" s="29" t="s">
        <v>0</v>
      </c>
      <c r="T14" s="29" t="s">
        <v>1</v>
      </c>
      <c r="U14" s="29" t="s">
        <v>2</v>
      </c>
      <c r="V14" s="29" t="s">
        <v>3</v>
      </c>
      <c r="W14" s="29" t="s">
        <v>2</v>
      </c>
      <c r="X14" s="29" t="s">
        <v>4</v>
      </c>
      <c r="Y14" s="29" t="s">
        <v>0</v>
      </c>
      <c r="Z14" s="12"/>
      <c r="AA14" s="30" t="s">
        <v>0</v>
      </c>
      <c r="AB14" s="30" t="s">
        <v>1</v>
      </c>
      <c r="AC14" s="30" t="s">
        <v>2</v>
      </c>
      <c r="AD14" s="30" t="s">
        <v>3</v>
      </c>
      <c r="AE14" s="30" t="s">
        <v>2</v>
      </c>
      <c r="AF14" s="30" t="s">
        <v>4</v>
      </c>
      <c r="AG14" s="30" t="s">
        <v>0</v>
      </c>
      <c r="AI14" s="16"/>
      <c r="AJ14" s="12"/>
      <c r="AK14" s="12"/>
    </row>
    <row r="15" spans="1:38" ht="15.95" customHeight="1" thickBot="1" x14ac:dyDescent="0.25">
      <c r="C15" s="18" t="str">
        <f>IF(AND(YEAR(FebSun1)=$A$1,MONTH(FebSun1)=2),FebSun1, "")</f>
        <v/>
      </c>
      <c r="D15" s="17" t="str">
        <f>IF(AND(YEAR(FebSun1+1)=$A$1,MONTH(FebSun1+1)=2),FebSun1+1, "")</f>
        <v/>
      </c>
      <c r="E15" s="13" t="str">
        <f>IF(AND(YEAR(FebSun1+2)=$A$1,MONTH(FebSun1+2)=2),FebSun1+2, "")</f>
        <v/>
      </c>
      <c r="F15" s="13" t="str">
        <f>IF(AND(YEAR(FebSun1+3)=$A$1,MONTH(FebSun1+3)=2),FebSun1+3, "")</f>
        <v/>
      </c>
      <c r="G15" s="17" t="str">
        <f>IF(AND(YEAR(FebSun1+4)=$A$1,MONTH(FebSun1+4)=2),FebSun1+4, "")</f>
        <v/>
      </c>
      <c r="H15" s="17" t="str">
        <f>IF(AND(YEAR(FebSun1+5)=$A$1,MONTH(FebSun1+5)=2),FebSun1+5, "")</f>
        <v/>
      </c>
      <c r="I15" s="13">
        <f>IF(AND(YEAR(FebSun1+6)=$A$1,MONTH(FebSun1+6)=2),FebSun1+6, "")</f>
        <v>43862</v>
      </c>
      <c r="J15" s="12"/>
      <c r="K15" s="18" t="str">
        <f>IF(AND(YEAR(MaySun1)=$A$1,MONTH(MaySun1)=5),MaySun1, "")</f>
        <v/>
      </c>
      <c r="L15" s="17" t="str">
        <f>IF(AND(YEAR(MaySun1+1)=$A$1,MONTH(MaySun1+1)=5),MaySun1+1, "")</f>
        <v/>
      </c>
      <c r="M15" s="17" t="str">
        <f>IF(AND(YEAR(MaySun1+2)=$A$1,MONTH(MaySun1+2)=5),MaySun1+2, "")</f>
        <v/>
      </c>
      <c r="N15" s="17" t="str">
        <f>IF(AND(YEAR(MaySun1+3)=$A$1,MONTH(MaySun1+3)=5),MaySun1+3, "")</f>
        <v/>
      </c>
      <c r="O15" s="17" t="str">
        <f>IF(AND(YEAR(MaySun1+4)=$A$1,MONTH(MaySun1+4)=5),MaySun1+4, "")</f>
        <v/>
      </c>
      <c r="P15" s="17">
        <f>IF(AND(YEAR(MaySun1+5)=$A$1,MONTH(MaySun1+5)=5),MaySun1+5, "")</f>
        <v>43952</v>
      </c>
      <c r="Q15" s="13">
        <f>IF(AND(YEAR(MaySun1+6)=$A$1,MONTH(MaySun1+6)=5),MaySun1+6, "")</f>
        <v>43953</v>
      </c>
      <c r="R15" s="12"/>
      <c r="S15" s="13" t="str">
        <f>IF(AND(YEAR(AugSun1)=$A$1,MONTH(AugSun1)=8),AugSun1, "")</f>
        <v/>
      </c>
      <c r="T15" s="17" t="str">
        <f>IF(AND(YEAR(AugSun1+1)=$A$1,MONTH(AugSun1+1)=8),AugSun1+1, "")</f>
        <v/>
      </c>
      <c r="U15" s="17" t="str">
        <f>IF(AND(YEAR(AugSun1+2)=$A$1,MONTH(AugSun1+2)=8),AugSun1+2, "")</f>
        <v/>
      </c>
      <c r="V15" s="17" t="str">
        <f>IF(AND(YEAR(AugSun1+3)=$A$1,MONTH(AugSun1+3)=8),AugSun1+3, "")</f>
        <v/>
      </c>
      <c r="W15" s="17" t="str">
        <f>IF(AND(YEAR(AugSun1+4)=$A$1,MONTH(AugSun1+4)=8),AugSun1+4, "")</f>
        <v/>
      </c>
      <c r="X15" s="17" t="str">
        <f>IF(AND(YEAR(AugSun1+5)=$A$1,MONTH(AugSun1+5)=8),AugSun1+5, "")</f>
        <v/>
      </c>
      <c r="Y15" s="13">
        <f>IF(AND(YEAR(AugSun1+6)=$A$1,MONTH(AugSun1+6)=8),AugSun1+6, "")</f>
        <v>44044</v>
      </c>
      <c r="Z15" s="12"/>
      <c r="AA15" s="13">
        <f>IF(AND(YEAR(NovSun1)=$A$1,MONTH(NovSun1)=11),NovSun1, "")</f>
        <v>44136</v>
      </c>
      <c r="AB15" s="17">
        <f>IF(AND(YEAR(NovSun1+1)=$A$1,MONTH(NovSun1+1)=11),NovSun1+1, "")</f>
        <v>44137</v>
      </c>
      <c r="AC15" s="17">
        <f>IF(AND(YEAR(NovSun1+2)=$A$1,MONTH(NovSun1+2)=11),NovSun1+2, "")</f>
        <v>44138</v>
      </c>
      <c r="AD15" s="17">
        <f>IF(AND(YEAR(NovSun1+3)=$A$1,MONTH(NovSun1+3)=11),NovSun1+3, "")</f>
        <v>44139</v>
      </c>
      <c r="AE15" s="31">
        <f>IF(AND(YEAR(NovSun1+4)=$A$1,MONTH(NovSun1+4)=11),NovSun1+4, "")</f>
        <v>44140</v>
      </c>
      <c r="AF15" s="35">
        <f>IF(AND(YEAR(NovSun1+5)=$A$1,MONTH(NovSun1+5)=11),NovSun1+5, "")</f>
        <v>44141</v>
      </c>
      <c r="AG15" s="26">
        <f>IF(AND(YEAR(NovSun1+6)=$A$1,MONTH(NovSun1+6)=11),NovSun1+6, "")</f>
        <v>44142</v>
      </c>
      <c r="AI15" s="16"/>
      <c r="AJ15" s="12"/>
      <c r="AK15" s="12"/>
    </row>
    <row r="16" spans="1:38" ht="15.95" customHeight="1" thickBot="1" x14ac:dyDescent="0.25">
      <c r="C16" s="18">
        <f>IF(AND(YEAR(FebSun1+7)=$A$1,MONTH(FebSun1+7)=2),FebSun1+7, "")</f>
        <v>43863</v>
      </c>
      <c r="D16" s="17">
        <f>IF(AND(YEAR(FebSun1+8)=$A$1,MONTH(FebSun1+8)=2),FebSun1+8, "")</f>
        <v>43864</v>
      </c>
      <c r="E16" s="13">
        <f>IF(AND(YEAR(FebSun1+9)=$A$1,MONTH(FebSun1+9)=2),FebSun1+9, "")</f>
        <v>43865</v>
      </c>
      <c r="F16" s="13">
        <f>IF(AND(YEAR(FebSun1+10)=$A$1,MONTH(FebSun1+10)=2),FebSun1+10, "")</f>
        <v>43866</v>
      </c>
      <c r="G16" s="17">
        <f>IF(AND(YEAR(FebSun1+11)=$A$1,MONTH(FebSun1+11)=2),FebSun1+11, "")</f>
        <v>43867</v>
      </c>
      <c r="H16" s="35">
        <f>IF(AND(YEAR(FebSun1+12)=$A$1,MONTH(FebSun1+12)=2),FebSun1+12, "")</f>
        <v>43868</v>
      </c>
      <c r="I16" s="13">
        <f>IF(AND(YEAR(FebSun1+13)=$A$1,MONTH(FebSun1+13)=2),FebSun1+13, "")</f>
        <v>43869</v>
      </c>
      <c r="J16" s="12"/>
      <c r="K16" s="18">
        <f>IF(AND(YEAR(MaySun1+7)=$A$1,MONTH(MaySun1+7)=5),MaySun1+7, "")</f>
        <v>43954</v>
      </c>
      <c r="L16" s="17">
        <f>IF(AND(YEAR(MaySun1+8)=$A$1,MONTH(MaySun1+8)=5),MaySun1+8, "")</f>
        <v>43955</v>
      </c>
      <c r="M16" s="17">
        <f>IF(AND(YEAR(MaySun1+9)=$A$1,MONTH(MaySun1+9)=5),MaySun1+9, "")</f>
        <v>43956</v>
      </c>
      <c r="N16" s="31">
        <f>IF(AND(YEAR(MaySun1+10)=$A$1,MONTH(MaySun1+10)=5),MaySun1+10, "")</f>
        <v>43957</v>
      </c>
      <c r="O16" s="18">
        <f>IF(AND(YEAR(MaySun1+11)=$A$1,MONTH(MaySun1+11)=5),MaySun1+11, "")</f>
        <v>43958</v>
      </c>
      <c r="P16" s="35">
        <f>IF(AND(YEAR(MaySun1+12)=$A$1,MONTH(MaySun1+12)=5),MaySun1+12, "")</f>
        <v>43959</v>
      </c>
      <c r="Q16" s="13">
        <f>IF(AND(YEAR(MaySun1+13)=$A$1,MONTH(MaySun1+13)=5),MaySun1+13, "")</f>
        <v>43960</v>
      </c>
      <c r="R16" s="12"/>
      <c r="S16" s="13">
        <f>IF(AND(YEAR(AugSun1+7)=$A$1,MONTH(AugSun1+7)=8),AugSun1+7, "")</f>
        <v>44045</v>
      </c>
      <c r="T16" s="17">
        <f>IF(AND(YEAR(AugSun1+8)=$A$1,MONTH(AugSun1+8)=8),AugSun1+8, "")</f>
        <v>44046</v>
      </c>
      <c r="U16" s="17">
        <f>IF(AND(YEAR(AugSun1+9)=$A$1,MONTH(AugSun1+9)=8),AugSun1+9, "")</f>
        <v>44047</v>
      </c>
      <c r="V16" s="17">
        <f>IF(AND(YEAR(AugSun1+10)=$A$1,MONTH(AugSun1+10)=8),AugSun1+10, "")</f>
        <v>44048</v>
      </c>
      <c r="W16" s="31">
        <f>IF(AND(YEAR(AugSun1+11)=$A$1,MONTH(AugSun1+11)=8),AugSun1+11, "")</f>
        <v>44049</v>
      </c>
      <c r="X16" s="35">
        <f>IF(AND(YEAR(AugSun1+12)=$A$1,MONTH(AugSun1+12)=8),AugSun1+12, "")</f>
        <v>44050</v>
      </c>
      <c r="Y16" s="26">
        <f>IF(AND(YEAR(AugSun1+13)=$A$1,MONTH(AugSun1+13)=8),AugSun1+13, "")</f>
        <v>44051</v>
      </c>
      <c r="Z16" s="12"/>
      <c r="AA16" s="13">
        <f>IF(AND(YEAR(NovSun1+7)=$A$1,MONTH(NovSun1+7)=11),NovSun1+7, "")</f>
        <v>44143</v>
      </c>
      <c r="AB16" s="17">
        <f>IF(AND(YEAR(NovSun1+8)=$A$1,MONTH(NovSun1+8)=11),NovSun1+8, "")</f>
        <v>44144</v>
      </c>
      <c r="AC16" s="17">
        <f>IF(AND(YEAR(NovSun1+9)=$A$1,MONTH(NovSun1+9)=11),NovSun1+9, "")</f>
        <v>44145</v>
      </c>
      <c r="AD16" s="17">
        <f>IF(AND(YEAR(NovSun1+10)=$A$1,MONTH(NovSun1+10)=11),NovSun1+10, "")</f>
        <v>44146</v>
      </c>
      <c r="AE16" s="17">
        <f>IF(AND(YEAR(NovSun1+11)=$A$1,MONTH(NovSun1+11)=11),NovSun1+11, "")</f>
        <v>44147</v>
      </c>
      <c r="AF16" s="41">
        <f>IF(AND(YEAR(NovSun1+12)=$A$1,MONTH(NovSun1+12)=11),NovSun1+12, "")</f>
        <v>44148</v>
      </c>
      <c r="AG16" s="26">
        <f>IF(AND(YEAR(NovSun1+13)=$A$1,MONTH(NovSun1+13)=11),NovSun1+13, "")</f>
        <v>44149</v>
      </c>
      <c r="AI16" s="16"/>
      <c r="AJ16" s="12"/>
      <c r="AK16" s="12"/>
      <c r="AL16" s="12"/>
    </row>
    <row r="17" spans="2:37" ht="15.95" customHeight="1" thickBot="1" x14ac:dyDescent="0.25">
      <c r="C17" s="18">
        <f>IF(AND(YEAR(FebSun1+14)=$A$1,MONTH(FebSun1+14)=2),FebSun1+14, "")</f>
        <v>43870</v>
      </c>
      <c r="D17" s="13">
        <f>IF(AND(YEAR(FebSun1+15)=$A$1,MONTH(FebSun1+15)=2),FebSun1+15, "")</f>
        <v>43871</v>
      </c>
      <c r="E17" s="26">
        <f>IF(AND(YEAR(FebSun1+16)=$A$1,MONTH(FebSun1+16)=2),FebSun1+16, "")</f>
        <v>43872</v>
      </c>
      <c r="F17" s="13">
        <f>IF(AND(YEAR(FebSun1+17)=$A$1,MONTH(FebSun1+17)=2),FebSun1+17, "")</f>
        <v>43873</v>
      </c>
      <c r="G17" s="17">
        <f>IF(AND(YEAR(FebSun1+18)=$A$1,MONTH(FebSun1+18)=2),FebSun1+18, "")</f>
        <v>43874</v>
      </c>
      <c r="H17" s="33">
        <f>IF(AND(YEAR(FebSun1+19)=$A$1,MONTH(FebSun1+19)=2),FebSun1+19, "")</f>
        <v>43875</v>
      </c>
      <c r="I17" s="13">
        <f>IF(AND(YEAR(FebSun1+20)=$A$1,MONTH(FebSun1+20)=2),FebSun1+20, "")</f>
        <v>43876</v>
      </c>
      <c r="J17" s="12"/>
      <c r="K17" s="18">
        <f>IF(AND(YEAR(MaySun1+14)=$A$1,MONTH(MaySun1+14)=5),MaySun1+14, "")</f>
        <v>43961</v>
      </c>
      <c r="L17" s="17">
        <f>IF(AND(YEAR(MaySun1+15)=$A$1,MONTH(MaySun1+15)=5),MaySun1+15, "")</f>
        <v>43962</v>
      </c>
      <c r="M17" s="17">
        <f>IF(AND(YEAR(MaySun1+16)=$A$1,MONTH(MaySun1+16)=5),MaySun1+16, "")</f>
        <v>43963</v>
      </c>
      <c r="N17" s="17">
        <f>IF(AND(YEAR(MaySun1+17)=$A$1,MONTH(MaySun1+17)=5),MaySun1+17, "")</f>
        <v>43964</v>
      </c>
      <c r="O17" s="36">
        <f>IF(AND(YEAR(MaySun1+18)=$A$1,MONTH(MaySun1+18)=5),MaySun1+18, "")</f>
        <v>43965</v>
      </c>
      <c r="P17" s="33">
        <f>IF(AND(YEAR(MaySun1+19)=$A$1,MONTH(MaySun1+19)=5),MaySun1+19, "")</f>
        <v>43966</v>
      </c>
      <c r="Q17" s="13">
        <f>IF(AND(YEAR(MaySun1+20)=$A$1,MONTH(MaySun1+20)=5),MaySun1+20, "")</f>
        <v>43967</v>
      </c>
      <c r="R17" s="12"/>
      <c r="S17" s="13">
        <f>IF(AND(YEAR(AugSun1+14)=$A$1,MONTH(AugSun1+14)=8),AugSun1+14, "")</f>
        <v>44052</v>
      </c>
      <c r="T17" s="17">
        <f>IF(AND(YEAR(AugSun1+15)=$A$1,MONTH(AugSun1+15)=8),AugSun1+15, "")</f>
        <v>44053</v>
      </c>
      <c r="U17" s="17">
        <f>IF(AND(YEAR(AugSun1+16)=$A$1,MONTH(AugSun1+16)=8),AugSun1+16, "")</f>
        <v>44054</v>
      </c>
      <c r="V17" s="17">
        <f>IF(AND(YEAR(AugSun1+17)=$A$1,MONTH(AugSun1+17)=8),AugSun1+17, "")</f>
        <v>44055</v>
      </c>
      <c r="W17" s="17">
        <f>IF(AND(YEAR(AugSun1+18)=$A$1,MONTH(AugSun1+18)=8),AugSun1+18, "")</f>
        <v>44056</v>
      </c>
      <c r="X17" s="41">
        <f>IF(AND(YEAR(AugSun1+19)=$A$1,MONTH(AugSun1+19)=8),AugSun1+19, "")</f>
        <v>44057</v>
      </c>
      <c r="Y17" s="13">
        <f>IF(AND(YEAR(AugSun1+20)=$A$1,MONTH(AugSun1+20)=8),AugSun1+20, "")</f>
        <v>44058</v>
      </c>
      <c r="Z17" s="12"/>
      <c r="AA17" s="18">
        <f>IF(AND(YEAR(NovSun1+14)=$A$1,MONTH(NovSun1+14)=11),NovSun1+14, "")</f>
        <v>44150</v>
      </c>
      <c r="AB17" s="17">
        <f>IF(AND(YEAR(NovSun1+15)=$A$1,MONTH(NovSun1+15)=11),NovSun1+15, "")</f>
        <v>44151</v>
      </c>
      <c r="AC17" s="17">
        <f>IF(AND(YEAR(NovSun1+16)=$A$1,MONTH(NovSun1+16)=11),NovSun1+16, "")</f>
        <v>44152</v>
      </c>
      <c r="AD17" s="17">
        <f>IF(AND(YEAR(NovSun1+17)=$A$1,MONTH(NovSun1+17)=11),NovSun1+17, "")</f>
        <v>44153</v>
      </c>
      <c r="AE17" s="17">
        <f>IF(AND(YEAR(NovSun1+18)=$A$1,MONTH(NovSun1+18)=11),NovSun1+18, "")</f>
        <v>44154</v>
      </c>
      <c r="AF17" s="17">
        <f>IF(AND(YEAR(NovSun1+19)=$A$1,MONTH(NovSun1+19)=11),NovSun1+19, "")</f>
        <v>44155</v>
      </c>
      <c r="AG17" s="26">
        <f>IF(AND(YEAR(NovSun1+20)=$A$1,MONTH(NovSun1+20)=11),NovSun1+20, "")</f>
        <v>44156</v>
      </c>
      <c r="AI17" s="16"/>
      <c r="AJ17" s="12"/>
      <c r="AK17" s="12"/>
    </row>
    <row r="18" spans="2:37" ht="15.95" customHeight="1" thickBot="1" x14ac:dyDescent="0.25">
      <c r="C18" s="18">
        <f>IF(AND(YEAR(FebSun1+21)=$A$1,MONTH(FebSun1+21)=2),FebSun1+21, "")</f>
        <v>43877</v>
      </c>
      <c r="D18" s="36">
        <f>IF(AND(YEAR(FebSun1+22)=$A$1,MONTH(FebSun1+22)=2),FebSun1+22, "")</f>
        <v>43878</v>
      </c>
      <c r="E18" s="13">
        <f>IF(AND(YEAR(FebSun1+23)=$A$1,MONTH(FebSun1+23)=2),FebSun1+23, "")</f>
        <v>43879</v>
      </c>
      <c r="F18" s="13">
        <f>IF(AND(YEAR(FebSun1+24)=$A$1,MONTH(FebSun1+24)=2),FebSun1+24, "")</f>
        <v>43880</v>
      </c>
      <c r="G18" s="31">
        <f>IF(AND(YEAR(FebSun1+25)=$A$1,MONTH(FebSun1+25)=2),FebSun1+25, "")</f>
        <v>43881</v>
      </c>
      <c r="H18" s="35">
        <f>IF(AND(YEAR(FebSun1+26)=$A$1,MONTH(FebSun1+26)=2),FebSun1+26, "")</f>
        <v>43882</v>
      </c>
      <c r="I18" s="26">
        <f>IF(AND(YEAR(FebSun1+27)=$A$1,MONTH(FebSun1+27)=2),FebSun1+27, "")</f>
        <v>43883</v>
      </c>
      <c r="J18" s="12"/>
      <c r="K18" s="18">
        <f>IF(AND(YEAR(MaySun1+21)=$A$1,MONTH(MaySun1+21)=5),MaySun1+21, "")</f>
        <v>43968</v>
      </c>
      <c r="L18" s="17">
        <f>IF(AND(YEAR(MaySun1+22)=$A$1,MONTH(MaySun1+22)=5),MaySun1+22, "")</f>
        <v>43969</v>
      </c>
      <c r="M18" s="17">
        <f>IF(AND(YEAR(MaySun1+23)=$A$1,MONTH(MaySun1+23)=5),MaySun1+23, "")</f>
        <v>43970</v>
      </c>
      <c r="N18" s="17">
        <f>IF(AND(YEAR(MaySun1+24)=$A$1,MONTH(MaySun1+24)=5),MaySun1+24, "")</f>
        <v>43971</v>
      </c>
      <c r="O18" s="31">
        <f>IF(AND(YEAR(MaySun1+25)=$A$1,MONTH(MaySun1+25)=5),MaySun1+25, "")</f>
        <v>43972</v>
      </c>
      <c r="P18" s="35">
        <f>IF(AND(YEAR(MaySun1+26)=$A$1,MONTH(MaySun1+26)=5),MaySun1+26, "")</f>
        <v>43973</v>
      </c>
      <c r="Q18" s="26">
        <f>IF(AND(YEAR(MaySun1+27)=$A$1,MONTH(MaySun1+27)=5),MaySun1+27, "")</f>
        <v>43974</v>
      </c>
      <c r="R18" s="12"/>
      <c r="S18" s="13">
        <f>IF(AND(YEAR(AugSun1+21)=$A$1,MONTH(AugSun1+21)=8),AugSun1+21, "")</f>
        <v>44059</v>
      </c>
      <c r="T18" s="17">
        <f>IF(AND(YEAR(AugSun1+22)=$A$1,MONTH(AugSun1+22)=8),AugSun1+22, "")</f>
        <v>44060</v>
      </c>
      <c r="U18" s="17">
        <f>IF(AND(YEAR(AugSun1+23)=$A$1,MONTH(AugSun1+23)=8),AugSun1+23, "")</f>
        <v>44061</v>
      </c>
      <c r="V18" s="17">
        <f>IF(AND(YEAR(AugSun1+24)=$A$1,MONTH(AugSun1+24)=8),AugSun1+24, "")</f>
        <v>44062</v>
      </c>
      <c r="W18" s="17">
        <f>IF(AND(YEAR(AugSun1+25)=$A$1,MONTH(AugSun1+25)=8),AugSun1+25, "")</f>
        <v>44063</v>
      </c>
      <c r="X18" s="17">
        <f>IF(AND(YEAR(AugSun1+26)=$A$1,MONTH(AugSun1+26)=8),AugSun1+26, "")</f>
        <v>44064</v>
      </c>
      <c r="Y18" s="26">
        <f>IF(AND(YEAR(AugSun1+27)=$A$1,MONTH(AugSun1+27)=8),AugSun1+27, "")</f>
        <v>44065</v>
      </c>
      <c r="Z18" s="12"/>
      <c r="AA18" s="18">
        <f>IF(AND(YEAR(NovSun1+21)=$A$1,MONTH(NovSun1+21)=11),NovSun1+21, "")</f>
        <v>44157</v>
      </c>
      <c r="AB18" s="35">
        <f>IF(AND(YEAR(NovSun1+22)=$A$1,MONTH(NovSun1+22)=11),NovSun1+22, "")</f>
        <v>44158</v>
      </c>
      <c r="AC18" s="37">
        <f>IF(AND(YEAR(NovSun1+23)=$A$1,MONTH(NovSun1+23)=11),NovSun1+23, "")</f>
        <v>44159</v>
      </c>
      <c r="AD18" s="17">
        <f>IF(AND(YEAR(NovSun1+24)=$A$1,MONTH(NovSun1+24)=11),NovSun1+24, "")</f>
        <v>44160</v>
      </c>
      <c r="AE18" s="17">
        <f>IF(AND(YEAR(NovSun1+25)=$A$1,MONTH(NovSun1+25)=11),NovSun1+25, "")</f>
        <v>44161</v>
      </c>
      <c r="AF18" s="17">
        <f>IF(AND(YEAR(NovSun1+26)=$A$1,MONTH(NovSun1+26)=11),NovSun1+26, "")</f>
        <v>44162</v>
      </c>
      <c r="AG18" s="26">
        <f>IF(AND(YEAR(NovSun1+27)=$A$1,MONTH(NovSun1+27)=11),NovSun1+27, "")</f>
        <v>44163</v>
      </c>
      <c r="AI18" s="12"/>
      <c r="AJ18" s="12"/>
      <c r="AK18" s="12"/>
    </row>
    <row r="19" spans="2:37" ht="15.95" customHeight="1" thickBot="1" x14ac:dyDescent="0.25">
      <c r="C19" s="18">
        <f>IF(AND(YEAR(FebSun1+28)=$A$1,MONTH(FebSun1+28)=2),FebSun1+28, "")</f>
        <v>43884</v>
      </c>
      <c r="D19" s="17">
        <f>IF(AND(YEAR(FebSun1+29)=$A$1,MONTH(FebSun1+29)=2),FebSun1+29, "")</f>
        <v>43885</v>
      </c>
      <c r="E19" s="13">
        <f>IF(AND(YEAR(FebSun1+30)=$A$1,MONTH(FebSun1+30)=2),FebSun1+30, "")</f>
        <v>43886</v>
      </c>
      <c r="F19" s="13">
        <f>IF(AND(YEAR(FebSun1+31)=$A$1,MONTH(FebSun1+31)=2),FebSun1+31, "")</f>
        <v>43887</v>
      </c>
      <c r="G19" s="17">
        <f>IF(AND(YEAR(FebSun1+32)=$A$1,MONTH(FebSun1+32)=2),FebSun1+32, "")</f>
        <v>43888</v>
      </c>
      <c r="H19" s="34">
        <f>IF(AND(YEAR(FebSun1+33)=$A$1,MONTH(FebSun1+33)=2),FebSun1+33, "")</f>
        <v>43889</v>
      </c>
      <c r="I19" s="13">
        <f>IF(AND(YEAR(FebSun1+34)=$A$1,MONTH(FebSun1+34)=2),FebSun1+34, "")</f>
        <v>43890</v>
      </c>
      <c r="J19" s="12"/>
      <c r="K19" s="18">
        <f>IF(AND(YEAR(MaySun1+28)=$A$1,MONTH(MaySun1+28)=5),MaySun1+28, "")</f>
        <v>43975</v>
      </c>
      <c r="L19" s="17">
        <f>IF(AND(YEAR(MaySun1+29)=$A$1,MONTH(MaySun1+29)=5),MaySun1+29, "")</f>
        <v>43976</v>
      </c>
      <c r="M19" s="17">
        <f>IF(AND(YEAR(MaySun1+30)=$A$1,MONTH(MaySun1+30)=5),MaySun1+30, "")</f>
        <v>43977</v>
      </c>
      <c r="N19" s="17">
        <f>IF(AND(YEAR(MaySun1+31)=$A$1,MONTH(MaySun1+31)=5),MaySun1+31, "")</f>
        <v>43978</v>
      </c>
      <c r="O19" s="17">
        <f>IF(AND(YEAR(MaySun1+32)=$A$1,MONTH(MaySun1+32)=5),MaySun1+32, "")</f>
        <v>43979</v>
      </c>
      <c r="P19" s="38">
        <f>IF(AND(YEAR(MaySun1+33)=$A$1,MONTH(MaySun1+33)=5),MaySun1+33, "")</f>
        <v>43980</v>
      </c>
      <c r="Q19" s="13">
        <f>IF(AND(YEAR(MaySun1+34)=$A$1,MONTH(MaySun1+34)=5),MaySun1+34, "")</f>
        <v>43981</v>
      </c>
      <c r="R19" s="12"/>
      <c r="S19" s="18">
        <f>IF(AND(YEAR(AugSun1+28)=$A$1,MONTH(AugSun1+28)=8),AugSun1+28, "")</f>
        <v>44066</v>
      </c>
      <c r="T19" s="35">
        <f>IF(AND(YEAR(AugSun1+29)=$A$1,MONTH(AugSun1+29)=8),AugSun1+29, "")</f>
        <v>44067</v>
      </c>
      <c r="U19" s="26">
        <f>IF(AND(YEAR(AugSun1+30)=$A$1,MONTH(AugSun1+30)=8),AugSun1+30, "")</f>
        <v>44068</v>
      </c>
      <c r="V19" s="37">
        <f>IF(AND(YEAR(AugSun1+31)=$A$1,MONTH(AugSun1+31)=8),AugSun1+31, "")</f>
        <v>44069</v>
      </c>
      <c r="W19" s="17">
        <f>IF(AND(YEAR(AugSun1+32)=$A$1,MONTH(AugSun1+32)=8),AugSun1+32, "")</f>
        <v>44070</v>
      </c>
      <c r="X19" s="17">
        <f>IF(AND(YEAR(AugSun1+33)=$A$1,MONTH(AugSun1+33)=8),AugSun1+33, "")</f>
        <v>44071</v>
      </c>
      <c r="Y19" s="13">
        <f>IF(AND(YEAR(AugSun1+34)=$A$1,MONTH(AugSun1+34)=8),AugSun1+34, "")</f>
        <v>44072</v>
      </c>
      <c r="Z19" s="12"/>
      <c r="AA19" s="18">
        <f>IF(AND(YEAR(NovSun1+28)=$A$1,MONTH(NovSun1+28)=11),NovSun1+28, "")</f>
        <v>44164</v>
      </c>
      <c r="AB19" s="40">
        <f>IF(AND(YEAR(NovSun1+29)=$A$1,MONTH(NovSun1+29)=11),NovSun1+29, "")</f>
        <v>44165</v>
      </c>
      <c r="AC19" s="17" t="str">
        <f>IF(AND(YEAR(NovSun1+30)=$A$1,MONTH(NovSun1+30)=11),NovSun1+30, "")</f>
        <v/>
      </c>
      <c r="AD19" s="17" t="str">
        <f>IF(AND(YEAR(NovSun1+31)=$A$1,MONTH(NovSun1+31)=11),NovSun1+31, "")</f>
        <v/>
      </c>
      <c r="AE19" s="17" t="str">
        <f>IF(AND(YEAR(NovSun1+32)=$A$1,MONTH(NovSun1+32)=11),NovSun1+32, "")</f>
        <v/>
      </c>
      <c r="AF19" s="17" t="str">
        <f>IF(AND(YEAR(NovSun1+33)=$A$1,MONTH(NovSun1+33)=11),NovSun1+33, "")</f>
        <v/>
      </c>
      <c r="AG19" s="26" t="str">
        <f>IF(AND(YEAR(NovSun1+34)=$A$1,MONTH(NovSun1+34)=11),NovSun1+34, "")</f>
        <v/>
      </c>
      <c r="AI19" s="12"/>
      <c r="AJ19" s="12"/>
      <c r="AK19" s="12"/>
    </row>
    <row r="20" spans="2:37" ht="15.95" customHeight="1" x14ac:dyDescent="0.2">
      <c r="C20" s="18" t="str">
        <f>IF(AND(YEAR(FebSun1+35)=$A$1,MONTH(FebSun1+35)=2),FebSun1+35, "")</f>
        <v/>
      </c>
      <c r="D20" s="17" t="str">
        <f>IF(AND(YEAR(FebSun1+36)=$A$1,MONTH(FebSun1+36)=2),FebSun1+36, "")</f>
        <v/>
      </c>
      <c r="E20" s="13" t="str">
        <f>IF(AND(YEAR(FebSun1+37)=$A$1,MONTH(FebSun1+37)=2),FebSun1+37, "")</f>
        <v/>
      </c>
      <c r="F20" s="13" t="str">
        <f>IF(AND(YEAR(FebSun1+38)=$A$1,MONTH(FebSun1+38)=2),FebSun1+38, "")</f>
        <v/>
      </c>
      <c r="G20" s="17" t="str">
        <f>IF(AND(YEAR(FebSun1+39)=$A$1,MONTH(FebSun1+39)=2),FebSun1+39, "")</f>
        <v/>
      </c>
      <c r="H20" s="17" t="str">
        <f>IF(AND(YEAR(FebSun1+40)=$A$1,MONTH(FebSun1+40)=2),FebSun1+40, "")</f>
        <v/>
      </c>
      <c r="I20" s="13" t="str">
        <f>IF(AND(YEAR(FebSun1+41)=$A$1,MONTH(FebSun1+41)=2),FebSun1+41, "")</f>
        <v/>
      </c>
      <c r="J20" s="12"/>
      <c r="K20" s="18">
        <f>IF(AND(YEAR(MaySun1+35)=$A$1,MONTH(MaySun1+35)=5),MaySun1+35, "")</f>
        <v>43982</v>
      </c>
      <c r="L20" s="17" t="str">
        <f>IF(AND(YEAR(MaySun1+36)=$A$1,MONTH(MaySun1+36)=5),MaySun1+36, "")</f>
        <v/>
      </c>
      <c r="M20" s="17" t="str">
        <f>IF(AND(YEAR(MaySun1+37)=$A$1,MONTH(MaySun1+37)=5),MaySun1+37, "")</f>
        <v/>
      </c>
      <c r="N20" s="17" t="str">
        <f>IF(AND(YEAR(MaySun1+38)=$A$1,MONTH(MaySun1+38)=5),MaySun1+38, "")</f>
        <v/>
      </c>
      <c r="O20" s="17" t="str">
        <f>IF(AND(YEAR(MaySun1+39)=$A$1,MONTH(MaySun1+39)=5),MaySun1+39, "")</f>
        <v/>
      </c>
      <c r="P20" s="17" t="str">
        <f>IF(AND(YEAR(MaySun1+40)=$A$1,MONTH(MaySun1+40)=5),MaySun1+40, "")</f>
        <v/>
      </c>
      <c r="Q20" s="13" t="str">
        <f>IF(AND(YEAR(MaySun1+41)=$A$1,MONTH(MaySun1+41)=5),MaySun1+41, "")</f>
        <v/>
      </c>
      <c r="R20" s="12"/>
      <c r="S20" s="18">
        <f>IF(AND(YEAR(AugSun1+35)=$A$1,MONTH(AugSun1+35)=8),AugSun1+35, "")</f>
        <v>44073</v>
      </c>
      <c r="T20" s="40">
        <f>IF(AND(YEAR(AugSun1+36)=$A$1,MONTH(AugSun1+36)=8),AugSun1+36, "")</f>
        <v>44074</v>
      </c>
      <c r="U20" s="50" t="str">
        <f>IF(AND(YEAR(AugSun1+37)=$A$1,MONTH(AugSun1+37)=8),AugSun1+37, "")</f>
        <v/>
      </c>
      <c r="V20" s="13" t="str">
        <f>IF(AND(YEAR(AugSun1+38)=$A$1,MONTH(AugSun1+38)=8),AugSun1+38, "")</f>
        <v/>
      </c>
      <c r="W20" s="13" t="str">
        <f>IF(AND(YEAR(AugSun1+39)=$A$1,MONTH(AugSun1+39)=8),AugSun1+39, "")</f>
        <v/>
      </c>
      <c r="X20" s="13" t="str">
        <f>IF(AND(YEAR(AugSun1+40)=$A$1,MONTH(AugSun1+40)=8),AugSun1+40, "")</f>
        <v/>
      </c>
      <c r="Y20" s="13" t="str">
        <f>IF(AND(YEAR(AugSun1+41)=$A$1,MONTH(AugSun1+41)=8),AugSun1+41, "")</f>
        <v/>
      </c>
      <c r="Z20" s="12"/>
      <c r="AA20" s="13" t="str">
        <f>IF(AND(YEAR(NovSun1+35)=$A$1,MONTH(NovSun1+35)=11),NovSun1+35, "")</f>
        <v/>
      </c>
      <c r="AB20" s="14" t="str">
        <f>IF(AND(YEAR(NovSun1+36)=$A$1,MONTH(NovSun1+36)=11),NovSun1+36, "")</f>
        <v/>
      </c>
      <c r="AC20" s="13" t="str">
        <f>IF(AND(YEAR(NovSun1+37)=$A$1,MONTH(NovSun1+37)=11),NovSun1+37, "")</f>
        <v/>
      </c>
      <c r="AD20" s="13" t="str">
        <f>IF(AND(YEAR(NovSun1+38)=$A$1,MONTH(NovSun1+38)=11),NovSun1+38, "")</f>
        <v/>
      </c>
      <c r="AE20" s="13" t="str">
        <f>IF(AND(YEAR(NovSun1+39)=$A$1,MONTH(NovSun1+39)=11),NovSun1+39, "")</f>
        <v/>
      </c>
      <c r="AF20" s="13" t="str">
        <f>IF(AND(YEAR(NovSun1+40)=$A$1,MONTH(NovSun1+40)=11),NovSun1+40, "")</f>
        <v/>
      </c>
      <c r="AG20" s="13" t="str">
        <f>IF(AND(YEAR(NovSun1+41)=$A$1,MONTH(NovSun1+41)=11),NovSun1+41, "")</f>
        <v/>
      </c>
      <c r="AI20" s="12"/>
      <c r="AJ20" s="12"/>
      <c r="AK20" s="12"/>
    </row>
    <row r="21" spans="2:37" ht="15.95" customHeight="1" x14ac:dyDescent="0.2">
      <c r="B21" s="6"/>
      <c r="C21" s="7"/>
      <c r="D21" s="7"/>
      <c r="E21" s="7"/>
      <c r="F21" s="7"/>
      <c r="G21" s="7"/>
      <c r="H21" s="7"/>
      <c r="I21" s="7"/>
      <c r="J21" s="6"/>
      <c r="K21" s="7"/>
      <c r="L21" s="7"/>
      <c r="M21" s="7"/>
      <c r="N21" s="7"/>
      <c r="O21" s="7"/>
      <c r="P21" s="7"/>
      <c r="Q21" s="7"/>
      <c r="R21" s="6"/>
      <c r="S21" s="7"/>
      <c r="T21" s="11"/>
      <c r="U21" s="7"/>
      <c r="V21" s="7"/>
      <c r="W21" s="7"/>
      <c r="X21" s="7"/>
      <c r="Y21" s="7"/>
      <c r="Z21" s="6"/>
      <c r="AA21" s="11"/>
      <c r="AB21" s="11"/>
      <c r="AC21" s="11"/>
      <c r="AD21" s="11"/>
      <c r="AE21" s="11"/>
      <c r="AF21" s="11"/>
      <c r="AG21" s="11"/>
      <c r="AH21" s="6"/>
    </row>
    <row r="22" spans="2:37" ht="15.95" customHeight="1" x14ac:dyDescent="0.2">
      <c r="C22" s="42" t="s">
        <v>7</v>
      </c>
      <c r="D22" s="43"/>
      <c r="E22" s="43"/>
      <c r="F22" s="43"/>
      <c r="G22" s="43"/>
      <c r="H22" s="43"/>
      <c r="I22" s="44"/>
      <c r="K22" s="42" t="s">
        <v>10</v>
      </c>
      <c r="L22" s="43"/>
      <c r="M22" s="43"/>
      <c r="N22" s="43"/>
      <c r="O22" s="43"/>
      <c r="P22" s="43"/>
      <c r="Q22" s="44"/>
      <c r="S22" s="42" t="s">
        <v>12</v>
      </c>
      <c r="T22" s="43"/>
      <c r="U22" s="43"/>
      <c r="V22" s="43"/>
      <c r="W22" s="43"/>
      <c r="X22" s="43"/>
      <c r="Y22" s="44"/>
      <c r="AA22" s="42" t="s">
        <v>16</v>
      </c>
      <c r="AB22" s="43"/>
      <c r="AC22" s="43"/>
      <c r="AD22" s="43"/>
      <c r="AE22" s="43"/>
      <c r="AF22" s="43"/>
      <c r="AG22" s="44"/>
    </row>
    <row r="23" spans="2:37" ht="15.95" customHeight="1" thickBot="1" x14ac:dyDescent="0.25">
      <c r="B23" s="4"/>
      <c r="C23" s="29" t="s">
        <v>0</v>
      </c>
      <c r="D23" s="29" t="s">
        <v>1</v>
      </c>
      <c r="E23" s="29" t="s">
        <v>2</v>
      </c>
      <c r="F23" s="29" t="s">
        <v>3</v>
      </c>
      <c r="G23" s="29" t="s">
        <v>2</v>
      </c>
      <c r="H23" s="30" t="s">
        <v>4</v>
      </c>
      <c r="I23" s="29" t="s">
        <v>0</v>
      </c>
      <c r="J23" s="12"/>
      <c r="K23" s="29" t="s">
        <v>0</v>
      </c>
      <c r="L23" s="29" t="s">
        <v>1</v>
      </c>
      <c r="M23" s="29" t="s">
        <v>2</v>
      </c>
      <c r="N23" s="29" t="s">
        <v>3</v>
      </c>
      <c r="O23" s="29" t="s">
        <v>2</v>
      </c>
      <c r="P23" s="29" t="s">
        <v>4</v>
      </c>
      <c r="Q23" s="29" t="s">
        <v>0</v>
      </c>
      <c r="R23" s="12"/>
      <c r="S23" s="29" t="s">
        <v>0</v>
      </c>
      <c r="T23" s="29" t="s">
        <v>1</v>
      </c>
      <c r="U23" s="29" t="s">
        <v>2</v>
      </c>
      <c r="V23" s="29" t="s">
        <v>3</v>
      </c>
      <c r="W23" s="29" t="s">
        <v>2</v>
      </c>
      <c r="X23" s="30" t="s">
        <v>4</v>
      </c>
      <c r="Y23" s="29" t="s">
        <v>0</v>
      </c>
      <c r="Z23" s="12"/>
      <c r="AA23" s="29" t="s">
        <v>0</v>
      </c>
      <c r="AB23" s="29" t="s">
        <v>1</v>
      </c>
      <c r="AC23" s="29" t="s">
        <v>2</v>
      </c>
      <c r="AD23" s="29" t="s">
        <v>3</v>
      </c>
      <c r="AE23" s="29" t="s">
        <v>2</v>
      </c>
      <c r="AF23" s="30" t="s">
        <v>4</v>
      </c>
      <c r="AG23" s="29" t="s">
        <v>0</v>
      </c>
    </row>
    <row r="24" spans="2:37" ht="15.95" customHeight="1" thickBot="1" x14ac:dyDescent="0.25">
      <c r="C24" s="13">
        <f>IF(AND(YEAR(MarSun1)=$A$1,MONTH(MarSun1)=3),MarSun1, "")</f>
        <v>43891</v>
      </c>
      <c r="D24" s="17">
        <f>IF(AND(YEAR(MarSun1+1)=$A$1,MONTH(MarSun1+1)=3),MarSun1+1, "")</f>
        <v>43892</v>
      </c>
      <c r="E24" s="13">
        <f>IF(AND(YEAR(MarSun1+2)=$A$1,MONTH(MarSun1+2)=3),MarSun1+2, "")</f>
        <v>43893</v>
      </c>
      <c r="F24" s="17">
        <f>IF(AND(YEAR(MarSun1+3)=$A$1,MONTH(MarSun1+3)=3),MarSun1+3, "")</f>
        <v>43894</v>
      </c>
      <c r="G24" s="31">
        <f>IF(AND(YEAR(MarSun1+4)=$A$1,MONTH(MarSun1+4)=3),MarSun1+4, "")</f>
        <v>43895</v>
      </c>
      <c r="H24" s="35">
        <f>IF(AND(YEAR(MarSun1+5)=$A$1,MONTH(MarSun1+5)=3),MarSun1+5, "")</f>
        <v>43896</v>
      </c>
      <c r="I24" s="26">
        <f>IF(AND(YEAR(MarSun1+6)=$A$1,MONTH(MarSun1+6)=3),MarSun1+6, "")</f>
        <v>43897</v>
      </c>
      <c r="J24" s="12"/>
      <c r="K24" s="13" t="str">
        <f>IF(AND(YEAR(JunSun1)=$A$1,MONTH(JunSun1)=6),JunSun1, "")</f>
        <v/>
      </c>
      <c r="L24" s="17">
        <f>IF(AND(YEAR(JunSun1+1)=$A$1,MONTH(JunSun1+1)=6),JunSun1+1, "")</f>
        <v>43983</v>
      </c>
      <c r="M24" s="13">
        <f>IF(AND(YEAR(JunSun1+2)=$A$1,MONTH(JunSun1+2)=6),JunSun1+2, "")</f>
        <v>43984</v>
      </c>
      <c r="N24" s="13">
        <f>IF(AND(YEAR(JunSun1+3)=$A$1,MONTH(JunSun1+3)=6),JunSun1+3, "")</f>
        <v>43985</v>
      </c>
      <c r="O24" s="13">
        <f>IF(AND(YEAR(JunSun1+4)=$A$1,MONTH(JunSun1+4)=6),JunSun1+4, "")</f>
        <v>43986</v>
      </c>
      <c r="P24" s="13">
        <f>IF(AND(YEAR(JunSun1+5)=$A$1,MONTH(JunSun1+5)=6),JunSun1+5, "")</f>
        <v>43987</v>
      </c>
      <c r="Q24" s="13">
        <f>IF(AND(YEAR(JunSun1+6)=$A$1,MONTH(JunSun1+6)=6),JunSun1+6, "")</f>
        <v>43988</v>
      </c>
      <c r="R24" s="12"/>
      <c r="S24" s="13" t="str">
        <f>IF(AND(YEAR(SepSun1)=$A$1,MONTH(SepSun1)=9),SepSun1, "")</f>
        <v/>
      </c>
      <c r="T24" s="13" t="str">
        <f>IF(AND(YEAR(SepSun1+1)=$A$1,MONTH(SepSun1+1)=9),SepSun1+1, "")</f>
        <v/>
      </c>
      <c r="U24" s="17">
        <f>IF(AND(YEAR(SepSun1+2)=$A$1,MONTH(SepSun1+2)=9),SepSun1+2, "")</f>
        <v>44075</v>
      </c>
      <c r="V24" s="13">
        <f>IF(AND(YEAR(SepSun1+3)=$A$1,MONTH(SepSun1+3)=9),SepSun1+3, "")</f>
        <v>44076</v>
      </c>
      <c r="W24" s="13">
        <f>IF(AND(YEAR(SepSun1+4)=$A$1,MONTH(SepSun1+4)=9),SepSun1+4, "")</f>
        <v>44077</v>
      </c>
      <c r="X24" s="13">
        <f>IF(AND(YEAR(SepSun1+5)=$A$1,MONTH(SepSun1+5)=9),SepSun1+5, "")</f>
        <v>44078</v>
      </c>
      <c r="Y24" s="26">
        <f>IF(AND(YEAR(SepSun1+6)=$A$1,MONTH(SepSun1+6)=9),SepSun1+6, "")</f>
        <v>44079</v>
      </c>
      <c r="Z24" s="12"/>
      <c r="AA24" s="13" t="str">
        <f>IF(AND(YEAR(DecSun1)=$A$1,MONTH(DecSun1)=12),DecSun1, "")</f>
        <v/>
      </c>
      <c r="AB24" s="13" t="str">
        <f>IF(AND(YEAR(DecSun1+1)=$A$1,MONTH(DecSun1+1)=12),DecSun1+1, "")</f>
        <v/>
      </c>
      <c r="AC24" s="17">
        <f>IF(AND(YEAR(DecSun1+2)=$A$1,MONTH(DecSun1+2)=12),DecSun1+2, "")</f>
        <v>44166</v>
      </c>
      <c r="AD24" s="13">
        <f>IF(AND(YEAR(DecSun1+3)=$A$1,MONTH(DecSun1+3)=12),DecSun1+3, "")</f>
        <v>44167</v>
      </c>
      <c r="AE24" s="13">
        <f>IF(AND(YEAR(DecSun1+4)=$A$1,MONTH(DecSun1+4)=12),DecSun1+4, "")</f>
        <v>44168</v>
      </c>
      <c r="AF24" s="13">
        <f>IF(AND(YEAR(DecSun1+5)=$A$1,MONTH(DecSun1+5)=12),DecSun1+5, "")</f>
        <v>44169</v>
      </c>
      <c r="AG24" s="26">
        <f>IF(AND(YEAR(DecSun1+6)=$A$1,MONTH(DecSun1+6)=12),DecSun1+6, "")</f>
        <v>44170</v>
      </c>
    </row>
    <row r="25" spans="2:37" ht="15.95" customHeight="1" thickBot="1" x14ac:dyDescent="0.25">
      <c r="C25" s="13">
        <f>IF(AND(YEAR(MarSun1+7)=$A$1,MONTH(MarSun1+7)=3),MarSun1+7, "")</f>
        <v>43898</v>
      </c>
      <c r="D25" s="17">
        <f>IF(AND(YEAR(MarSun1+8)=$A$1,MONTH(MarSun1+8)=3),MarSun1+8, "")</f>
        <v>43899</v>
      </c>
      <c r="E25" s="13">
        <f>IF(AND(YEAR(MarSun1+9)=$A$1,MONTH(MarSun1+9)=3),MarSun1+9, "")</f>
        <v>43900</v>
      </c>
      <c r="F25" s="17">
        <f>IF(AND(YEAR(MarSun1+10)=$A$1,MONTH(MarSun1+10)=3),MarSun1+10, "")</f>
        <v>43901</v>
      </c>
      <c r="G25" s="17">
        <f>IF(AND(YEAR(MarSun1+11)=$A$1,MONTH(MarSun1+11)=3),MarSun1+11, "")</f>
        <v>43902</v>
      </c>
      <c r="H25" s="41">
        <f>IF(AND(YEAR(MarSun1+12)=$A$1,MONTH(MarSun1+12)=3),MarSun1+12, "")</f>
        <v>43903</v>
      </c>
      <c r="I25" s="13">
        <f>IF(AND(YEAR(MarSun1+13)=$A$1,MONTH(MarSun1+13)=3),MarSun1+13, "")</f>
        <v>43904</v>
      </c>
      <c r="J25" s="12"/>
      <c r="K25" s="18">
        <f>IF(AND(YEAR(JunSun1+7)=$A$1,MONTH(JunSun1+7)=6),JunSun1+7, "")</f>
        <v>43989</v>
      </c>
      <c r="L25" s="35">
        <f>IF(AND(YEAR(JunSun1+8)=$A$1,MONTH(JunSun1+8)=6),JunSun1+8, "")</f>
        <v>43990</v>
      </c>
      <c r="M25" s="26">
        <f>IF(AND(YEAR(JunSun1+9)=$A$1,MONTH(JunSun1+9)=6),JunSun1+9, "")</f>
        <v>43991</v>
      </c>
      <c r="N25" s="13">
        <f>IF(AND(YEAR(JunSun1+10)=$A$1,MONTH(JunSun1+10)=6),JunSun1+10, "")</f>
        <v>43992</v>
      </c>
      <c r="O25" s="13">
        <f>IF(AND(YEAR(JunSun1+11)=$A$1,MONTH(JunSun1+11)=6),JunSun1+11, "")</f>
        <v>43993</v>
      </c>
      <c r="P25" s="13">
        <f>IF(AND(YEAR(JunSun1+12)=$A$1,MONTH(JunSun1+12)=6),JunSun1+12, "")</f>
        <v>43994</v>
      </c>
      <c r="Q25" s="26">
        <f>IF(AND(YEAR(JunSun1+13)=$A$1,MONTH(JunSun1+13)=6),JunSun1+13, "")</f>
        <v>43995</v>
      </c>
      <c r="R25" s="12"/>
      <c r="S25" s="18">
        <f>IF(AND(YEAR(SepSun1+7)=$A$1,MONTH(SepSun1+7)=9),SepSun1+7, "")</f>
        <v>44080</v>
      </c>
      <c r="T25" s="18">
        <f>IF(AND(YEAR(SepSun1+8)=$A$1,MONTH(SepSun1+8)=9),SepSun1+8, "")</f>
        <v>44081</v>
      </c>
      <c r="U25" s="35">
        <f>IF(AND(YEAR(SepSun1+9)=$A$1,MONTH(SepSun1+9)=9),SepSun1+9, "")</f>
        <v>44082</v>
      </c>
      <c r="V25" s="26">
        <f>IF(AND(YEAR(SepSun1+10)=$A$1,MONTH(SepSun1+10)=9),SepSun1+10, "")</f>
        <v>44083</v>
      </c>
      <c r="W25" s="13">
        <f>IF(AND(YEAR(SepSun1+11)=$A$1,MONTH(SepSun1+11)=9),SepSun1+11, "")</f>
        <v>44084</v>
      </c>
      <c r="X25" s="13">
        <f>IF(AND(YEAR(SepSun1+12)=$A$1,MONTH(SepSun1+12)=9),SepSun1+12, "")</f>
        <v>44085</v>
      </c>
      <c r="Y25" s="13">
        <f>IF(AND(YEAR(SepSun1+13)=$A$1,MONTH(SepSun1+13)=9),SepSun1+13, "")</f>
        <v>44086</v>
      </c>
      <c r="Z25" s="12"/>
      <c r="AA25" s="18">
        <f>IF(AND(YEAR(DecSun1+7)=$A$1,MONTH(DecSun1+7)=12),DecSun1+7, "")</f>
        <v>44171</v>
      </c>
      <c r="AB25" s="18">
        <f>IF(AND(YEAR(DecSun1+8)=$A$1,MONTH(DecSun1+8)=12),DecSun1+8, "")</f>
        <v>44172</v>
      </c>
      <c r="AC25" s="35">
        <f>IF(AND(YEAR(DecSun1+9)=$A$1,MONTH(DecSun1+9)=12),DecSun1+9, "")</f>
        <v>44173</v>
      </c>
      <c r="AD25" s="26">
        <f>IF(AND(YEAR(DecSun1+10)=$A$1,MONTH(DecSun1+10)=12),DecSun1+10, "")</f>
        <v>44174</v>
      </c>
      <c r="AE25" s="13">
        <f>IF(AND(YEAR(DecSun1+11)=$A$1,MONTH(DecSun1+11)=12),DecSun1+11, "")</f>
        <v>44175</v>
      </c>
      <c r="AF25" s="13">
        <f>IF(AND(YEAR(DecSun1+12)=$A$1,MONTH(DecSun1+12)=12),DecSun1+12, "")</f>
        <v>44176</v>
      </c>
      <c r="AG25" s="13">
        <f>IF(AND(YEAR(DecSun1+13)=$A$1,MONTH(DecSun1+13)=12),DecSun1+13, "")</f>
        <v>44177</v>
      </c>
    </row>
    <row r="26" spans="2:37" ht="15.95" customHeight="1" thickBot="1" x14ac:dyDescent="0.25">
      <c r="C26" s="18">
        <f>IF(AND(YEAR(MarSun1+14)=$A$1,MONTH(MarSun1+14)=3),MarSun1+14, "")</f>
        <v>43905</v>
      </c>
      <c r="D26" s="13">
        <f>IF(AND(YEAR(MarSun1+15)=$A$1,MONTH(MarSun1+15)=3),MarSun1+15, "")</f>
        <v>43906</v>
      </c>
      <c r="E26" s="26">
        <f>IF(AND(YEAR(MarSun1+16)=$A$1,MONTH(MarSun1+16)=3),MarSun1+16, "")</f>
        <v>43907</v>
      </c>
      <c r="F26" s="17">
        <f>IF(AND(YEAR(MarSun1+17)=$A$1,MONTH(MarSun1+17)=3),MarSun1+17, "")</f>
        <v>43908</v>
      </c>
      <c r="G26" s="13">
        <f>IF(AND(YEAR(MarSun1+18)=$A$1,MONTH(MarSun1+18)=3),MarSun1+18, "")</f>
        <v>43909</v>
      </c>
      <c r="H26" s="13">
        <f>IF(AND(YEAR(MarSun1+19)=$A$1,MONTH(MarSun1+19)=3),MarSun1+19, "")</f>
        <v>43910</v>
      </c>
      <c r="I26" s="13">
        <f>IF(AND(YEAR(MarSun1+20)=$A$1,MONTH(MarSun1+20)=3),MarSun1+20, "")</f>
        <v>43911</v>
      </c>
      <c r="J26" s="12"/>
      <c r="K26" s="18">
        <f>IF(AND(YEAR(JunSun1+14)=$A$1,MONTH(JunSun1+14)=6),JunSun1+14, "")</f>
        <v>43996</v>
      </c>
      <c r="L26" s="41">
        <f>IF(AND(YEAR(JunSun1+15)=$A$1,MONTH(JunSun1+15)=6),JunSun1+15, "")</f>
        <v>43997</v>
      </c>
      <c r="M26" s="17">
        <f>IF(AND(YEAR(JunSun1+16)=$A$1,MONTH(JunSun1+16)=6),JunSun1+16, "")</f>
        <v>43998</v>
      </c>
      <c r="N26" s="13">
        <f>IF(AND(YEAR(JunSun1+17)=$A$1,MONTH(JunSun1+17)=6),JunSun1+17, "")</f>
        <v>43999</v>
      </c>
      <c r="O26" s="13">
        <f>IF(AND(YEAR(JunSun1+18)=$A$1,MONTH(JunSun1+18)=6),JunSun1+18, "")</f>
        <v>44000</v>
      </c>
      <c r="P26" s="13">
        <f>IF(AND(YEAR(JunSun1+19)=$A$1,MONTH(JunSun1+19)=6),JunSun1+19, "")</f>
        <v>44001</v>
      </c>
      <c r="Q26" s="13">
        <f>IF(AND(YEAR(JunSun1+20)=$A$1,MONTH(JunSun1+20)=6),JunSun1+20, "")</f>
        <v>44002</v>
      </c>
      <c r="R26" s="12"/>
      <c r="S26" s="13">
        <f>IF(AND(YEAR(SepSun1+14)=$A$1,MONTH(SepSun1+14)=9),SepSun1+14, "")</f>
        <v>44087</v>
      </c>
      <c r="T26" s="13">
        <f>IF(AND(YEAR(SepSun1+15)=$A$1,MONTH(SepSun1+15)=9),SepSun1+15, "")</f>
        <v>44088</v>
      </c>
      <c r="U26" s="41">
        <f>IF(AND(YEAR(SepSun1+16)=$A$1,MONTH(SepSun1+16)=9),SepSun1+16, "")</f>
        <v>44089</v>
      </c>
      <c r="V26" s="17">
        <f>IF(AND(YEAR(SepSun1+17)=$A$1,MONTH(SepSun1+17)=9),SepSun1+17, "")</f>
        <v>44090</v>
      </c>
      <c r="W26" s="13">
        <f>IF(AND(YEAR(SepSun1+18)=$A$1,MONTH(SepSun1+18)=9),SepSun1+18, "")</f>
        <v>44091</v>
      </c>
      <c r="X26" s="13">
        <f>IF(AND(YEAR(SepSun1+19)=$A$1,MONTH(SepSun1+19)=9),SepSun1+19, "")</f>
        <v>44092</v>
      </c>
      <c r="Y26" s="13">
        <f>IF(AND(YEAR(SepSun1+20)=$A$1,MONTH(SepSun1+20)=9),SepSun1+20, "")</f>
        <v>44093</v>
      </c>
      <c r="Z26" s="12"/>
      <c r="AA26" s="13">
        <f>IF(AND(YEAR(DecSun1+14)=$A$1,MONTH(DecSun1+14)=12),DecSun1+14, "")</f>
        <v>44178</v>
      </c>
      <c r="AB26" s="13">
        <f>IF(AND(YEAR(DecSun1+15)=$A$1,MONTH(DecSun1+15)=12),DecSun1+15, "")</f>
        <v>44179</v>
      </c>
      <c r="AC26" s="41">
        <f>IF(AND(YEAR(DecSun1+16)=$A$1,MONTH(DecSun1+16)=12),DecSun1+16, "")</f>
        <v>44180</v>
      </c>
      <c r="AD26" s="13">
        <f>IF(AND(YEAR(DecSun1+17)=$A$1,MONTH(DecSun1+17)=12),DecSun1+17, "")</f>
        <v>44181</v>
      </c>
      <c r="AE26" s="17">
        <f>IF(AND(YEAR(DecSun1+18)=$A$1,MONTH(DecSun1+18)=12),DecSun1+18, "")</f>
        <v>44182</v>
      </c>
      <c r="AF26" s="13">
        <f>IF(AND(YEAR(DecSun1+19)=$A$1,MONTH(DecSun1+19)=12),DecSun1+19, "")</f>
        <v>44183</v>
      </c>
      <c r="AG26" s="26">
        <f>IF(AND(YEAR(DecSun1+20)=$A$1,MONTH(DecSun1+20)=12),DecSun1+20, "")</f>
        <v>44184</v>
      </c>
      <c r="AI26" s="12"/>
    </row>
    <row r="27" spans="2:37" ht="15.95" customHeight="1" thickBot="1" x14ac:dyDescent="0.25">
      <c r="C27" s="13">
        <f>IF(AND(YEAR(MarSun1+21)=$A$1,MONTH(MarSun1+21)=3),MarSun1+21, "")</f>
        <v>43912</v>
      </c>
      <c r="D27" s="36">
        <f>IF(AND(YEAR(MarSun1+22)=$A$1,MONTH(MarSun1+22)=3),MarSun1+22, "")</f>
        <v>43913</v>
      </c>
      <c r="E27" s="35">
        <f>IF(AND(YEAR(MarSun1+23)=$A$1,MONTH(MarSun1+23)=3),MarSun1+23, "")</f>
        <v>43914</v>
      </c>
      <c r="F27" s="17">
        <f>IF(AND(YEAR(MarSun1+24)=$A$1,MONTH(MarSun1+24)=3),MarSun1+24, "")</f>
        <v>43915</v>
      </c>
      <c r="G27" s="13">
        <f>IF(AND(YEAR(MarSun1+25)=$A$1,MONTH(MarSun1+25)=3),MarSun1+25, "")</f>
        <v>43916</v>
      </c>
      <c r="H27" s="13">
        <f>IF(AND(YEAR(MarSun1+26)=$A$1,MONTH(MarSun1+26)=3),MarSun1+26, "")</f>
        <v>43917</v>
      </c>
      <c r="I27" s="13">
        <f>IF(AND(YEAR(MarSun1+27)=$A$1,MONTH(MarSun1+27)=3),MarSun1+27, "")</f>
        <v>43918</v>
      </c>
      <c r="J27" s="12"/>
      <c r="K27" s="13">
        <f>IF(AND(YEAR(JunSun1+21)=$A$1,MONTH(JunSun1+21)=6),JunSun1+21, "")</f>
        <v>44003</v>
      </c>
      <c r="L27" s="18">
        <f>IF(AND(YEAR(JunSun1+22)=$A$1,MONTH(JunSun1+22)=6),JunSun1+22, "")</f>
        <v>44004</v>
      </c>
      <c r="M27" s="35">
        <f>IF(AND(YEAR(JunSun1+23)=$A$1,MONTH(JunSun1+23)=6),JunSun1+23, "")</f>
        <v>44005</v>
      </c>
      <c r="N27" s="26">
        <f>IF(AND(YEAR(JunSun1+24)=$A$1,MONTH(JunSun1+24)=6),JunSun1+24, "")</f>
        <v>44006</v>
      </c>
      <c r="O27" s="13">
        <f>IF(AND(YEAR(JunSun1+25)=$A$1,MONTH(JunSun1+25)=6),JunSun1+25, "")</f>
        <v>44007</v>
      </c>
      <c r="P27" s="13">
        <f>IF(AND(YEAR(JunSun1+26)=$A$1,MONTH(JunSun1+26)=6),JunSun1+26, "")</f>
        <v>44008</v>
      </c>
      <c r="Q27" s="26">
        <f>IF(AND(YEAR(JunSun1+27)=$A$1,MONTH(JunSun1+27)=6),JunSun1+27, "")</f>
        <v>44009</v>
      </c>
      <c r="R27" s="12"/>
      <c r="S27" s="18">
        <f>IF(AND(YEAR(SepSun1+21)=$A$1,MONTH(SepSun1+21)=9),SepSun1+21, "")</f>
        <v>44094</v>
      </c>
      <c r="T27" s="13">
        <f>IF(AND(YEAR(SepSun1+22)=$A$1,MONTH(SepSun1+22)=9),SepSun1+22, "")</f>
        <v>44095</v>
      </c>
      <c r="U27" s="18">
        <f>IF(AND(YEAR(SepSun1+23)=$A$1,MONTH(SepSun1+23)=9),SepSun1+23, "")</f>
        <v>44096</v>
      </c>
      <c r="V27" s="35">
        <f>IF(AND(YEAR(SepSun1+24)=$A$1,MONTH(SepSun1+24)=9),SepSun1+24, "")</f>
        <v>44097</v>
      </c>
      <c r="W27" s="26">
        <f>IF(AND(YEAR(SepSun1+25)=$A$1,MONTH(SepSun1+25)=9),SepSun1+25, "")</f>
        <v>44098</v>
      </c>
      <c r="X27" s="13">
        <f>IF(AND(YEAR(SepSun1+26)=$A$1,MONTH(SepSun1+26)=9),SepSun1+26, "")</f>
        <v>44099</v>
      </c>
      <c r="Y27" s="13">
        <f>IF(AND(YEAR(SepSun1+27)=$A$1,MONTH(SepSun1+27)=9),SepSun1+27, "")</f>
        <v>44100</v>
      </c>
      <c r="Z27" s="12"/>
      <c r="AA27" s="18">
        <f>IF(AND(YEAR(DecSun1+21)=$A$1,MONTH(DecSun1+21)=12),DecSun1+21, "")</f>
        <v>44185</v>
      </c>
      <c r="AB27" s="13">
        <f>IF(AND(YEAR(DecSun1+22)=$A$1,MONTH(DecSun1+22)=12),DecSun1+22, "")</f>
        <v>44186</v>
      </c>
      <c r="AC27" s="13">
        <f>IF(AND(YEAR(DecSun1+23)=$A$1,MONTH(DecSun1+23)=12),DecSun1+23, "")</f>
        <v>44187</v>
      </c>
      <c r="AD27" s="18">
        <f>IF(AND(YEAR(DecSun1+24)=$A$1,MONTH(DecSun1+24)=12),DecSun1+24, "")</f>
        <v>44188</v>
      </c>
      <c r="AE27" s="35">
        <f>IF(AND(YEAR(DecSun1+25)=$A$1,MONTH(DecSun1+25)=12),DecSun1+25, "")</f>
        <v>44189</v>
      </c>
      <c r="AF27" s="26">
        <f>IF(AND(YEAR(DecSun1+26)=$A$1,MONTH(DecSun1+26)=12),DecSun1+26, "")</f>
        <v>44190</v>
      </c>
      <c r="AG27" s="13">
        <f>IF(AND(YEAR(DecSun1+27)=$A$1,MONTH(DecSun1+27)=12),DecSun1+27, "")</f>
        <v>44191</v>
      </c>
      <c r="AI27" s="12"/>
    </row>
    <row r="28" spans="2:37" ht="15.95" customHeight="1" x14ac:dyDescent="0.2">
      <c r="C28" s="18">
        <f>IF(AND(YEAR(MarSun1+28)=$A$1,MONTH(MarSun1+28)=3),MarSun1+28, "")</f>
        <v>43919</v>
      </c>
      <c r="D28" s="13">
        <f>IF(AND(YEAR(MarSun1+29)=$A$1,MONTH(MarSun1+29)=3),MarSun1+29, "")</f>
        <v>43920</v>
      </c>
      <c r="E28" s="39">
        <f>IF(AND(YEAR(MarSun1+30)=$A$1,MONTH(MarSun1+30)=3),MarSun1+30, "")</f>
        <v>43921</v>
      </c>
      <c r="F28" s="17" t="str">
        <f>IF(AND(YEAR(MarSun1+31)=$A$1,MONTH(MarSun1+31)=3),MarSun1+31, "")</f>
        <v/>
      </c>
      <c r="G28" s="13" t="str">
        <f>IF(AND(YEAR(MarSun1+32)=$A$1,MONTH(MarSun1+32)=3),MarSun1+32, "")</f>
        <v/>
      </c>
      <c r="H28" s="13" t="str">
        <f>IF(AND(YEAR(MarSun1+33)=$A$1,MONTH(MarSun1+33)=3),MarSun1+33, "")</f>
        <v/>
      </c>
      <c r="I28" s="13" t="str">
        <f>IF(AND(YEAR(MarSun1+34)=$A$1,MONTH(MarSun1+34)=3),MarSun1+34, "")</f>
        <v/>
      </c>
      <c r="J28" s="12"/>
      <c r="K28" s="13">
        <f>IF(AND(YEAR(JunSun1+28)=$A$1,MONTH(JunSun1+28)=6),JunSun1+28, "")</f>
        <v>44010</v>
      </c>
      <c r="L28" s="13">
        <f>IF(AND(YEAR(JunSun1+29)=$A$1,MONTH(JunSun1+29)=6),JunSun1+29, "")</f>
        <v>44011</v>
      </c>
      <c r="M28" s="40">
        <f>IF(AND(YEAR(JunSun1+30)=$A$1,MONTH(JunSun1+30)=6),JunSun1+30, "")</f>
        <v>44012</v>
      </c>
      <c r="N28" s="13" t="str">
        <f>IF(AND(YEAR(JunSun1+31)=$A$1,MONTH(JunSun1+31)=6),JunSun1+31, "")</f>
        <v/>
      </c>
      <c r="O28" s="13" t="str">
        <f>IF(AND(YEAR(JunSun1+32)=$A$1,MONTH(JunSun1+32)=6),JunSun1+32, "")</f>
        <v/>
      </c>
      <c r="P28" s="13" t="str">
        <f>IF(AND(YEAR(JunSun1+33)=$A$1,MONTH(JunSun1+33)=6),JunSun1+33, "")</f>
        <v/>
      </c>
      <c r="Q28" s="13" t="str">
        <f>IF(AND(YEAR(JunSun1+34)=$A$1,MONTH(JunSun1+34)=6),JunSun1+34, "")</f>
        <v/>
      </c>
      <c r="R28" s="12"/>
      <c r="S28" s="13">
        <f>IF(AND(YEAR(SepSun1+28)=$A$1,MONTH(SepSun1+28)=9),SepSun1+28, "")</f>
        <v>44101</v>
      </c>
      <c r="T28" s="13">
        <f>IF(AND(YEAR(SepSun1+29)=$A$1,MONTH(SepSun1+29)=9),SepSun1+29, "")</f>
        <v>44102</v>
      </c>
      <c r="U28" s="13">
        <f>IF(AND(YEAR(SepSun1+30)=$A$1,MONTH(SepSun1+30)=9),SepSun1+30, "")</f>
        <v>44103</v>
      </c>
      <c r="V28" s="40">
        <f>IF(AND(YEAR(SepSun1+31)=$A$1,MONTH(SepSun1+31)=9),SepSun1+31, "")</f>
        <v>44104</v>
      </c>
      <c r="W28" s="13" t="str">
        <f>IF(AND(YEAR(SepSun1+32)=$A$1,MONTH(SepSun1+32)=9),SepSun1+32, "")</f>
        <v/>
      </c>
      <c r="X28" s="13" t="str">
        <f>IF(AND(YEAR(SepSun1+33)=$A$1,MONTH(SepSun1+33)=9),SepSun1+33, "")</f>
        <v/>
      </c>
      <c r="Y28" s="13" t="str">
        <f>IF(AND(YEAR(SepSun1+34)=$A$1,MONTH(SepSun1+34)=9),SepSun1+34, "")</f>
        <v/>
      </c>
      <c r="Z28" s="12"/>
      <c r="AA28" s="13">
        <f>IF(AND(YEAR(DecSun1+28)=$A$1,MONTH(DecSun1+28)=12),DecSun1+28, "")</f>
        <v>44192</v>
      </c>
      <c r="AB28" s="13">
        <f>IF(AND(YEAR(DecSun1+29)=$A$1,MONTH(DecSun1+29)=12),DecSun1+29, "")</f>
        <v>44193</v>
      </c>
      <c r="AC28" s="13">
        <f>IF(AND(YEAR(DecSun1+30)=$A$1,MONTH(DecSun1+30)=12),DecSun1+30, "")</f>
        <v>44194</v>
      </c>
      <c r="AD28" s="13">
        <f>IF(AND(YEAR(DecSun1+31)=$A$1,MONTH(DecSun1+31)=12),DecSun1+31, "")</f>
        <v>44195</v>
      </c>
      <c r="AE28" s="40">
        <f>IF(AND(YEAR(DecSun1+32)=$A$1,MONTH(DecSun1+32)=12),DecSun1+32, "")</f>
        <v>44196</v>
      </c>
      <c r="AF28" s="13" t="str">
        <f>IF(AND(YEAR(DecSun1+33)=$A$1,MONTH(DecSun1+33)=12),DecSun1+33, "")</f>
        <v/>
      </c>
      <c r="AG28" s="13" t="str">
        <f>IF(AND(YEAR(DecSun1+34)=$A$1,MONTH(DecSun1+34)=12),DecSun1+34, "")</f>
        <v/>
      </c>
    </row>
    <row r="29" spans="2:37" ht="15.95" customHeight="1" x14ac:dyDescent="0.2">
      <c r="C29" s="13" t="str">
        <f>IF(AND(YEAR(MarSun1+35)=$A$1,MONTH(MarSun1+35)=3),MarSun1+35, "")</f>
        <v/>
      </c>
      <c r="D29" s="14" t="str">
        <f>IF(AND(YEAR(MarSun1+36)=$A$1,MONTH(MarSun1+36)=3),MarSun1+36, "")</f>
        <v/>
      </c>
      <c r="E29" s="13" t="str">
        <f>IF(AND(YEAR(MarSun1+37)=$A$1,MONTH(MarSun1+37)=3),MarSun1+37, "")</f>
        <v/>
      </c>
      <c r="F29" s="13" t="str">
        <f>IF(AND(YEAR(MarSun1+38)=$A$1,MONTH(MarSun1+38)=3),MarSun1+38, "")</f>
        <v/>
      </c>
      <c r="G29" s="13" t="str">
        <f>IF(AND(YEAR(MarSun1+39)=$A$1,MONTH(MarSun1+39)=3),MarSun1+39, "")</f>
        <v/>
      </c>
      <c r="H29" s="13" t="str">
        <f>IF(AND(YEAR(MarSun1+40)=$A$1,MONTH(MarSun1+40)=3),MarSun1+40, "")</f>
        <v/>
      </c>
      <c r="I29" s="13" t="str">
        <f>IF(AND(YEAR(MarSun1+41)=$A$1,MONTH(MarSun1+41)=3),MarSun1+41, "")</f>
        <v/>
      </c>
      <c r="J29" s="12"/>
      <c r="K29" s="13" t="str">
        <f>IF(AND(YEAR(JunSun1+35)=$A$1,MONTH(JunSun1+35)=6),JunSun1+35, "")</f>
        <v/>
      </c>
      <c r="L29" s="14" t="str">
        <f>IF(AND(YEAR(JunSun1+36)=$A$1,MONTH(JunSun1+36)=6),JunSun1+36, "")</f>
        <v/>
      </c>
      <c r="M29" s="13" t="str">
        <f>IF(AND(YEAR(JunSun1+37)=$A$1,MONTH(JunSun1+37)=6),JunSun1+37, "")</f>
        <v/>
      </c>
      <c r="N29" s="13" t="str">
        <f>IF(AND(YEAR(JunSun1+38)=$A$1,MONTH(JunSun1+38)=6),JunSun1+38, "")</f>
        <v/>
      </c>
      <c r="O29" s="13" t="str">
        <f>IF(AND(YEAR(JunSun1+39)=$A$1,MONTH(JunSun1+39)=6),JunSun1+39, "")</f>
        <v/>
      </c>
      <c r="P29" s="13" t="str">
        <f>IF(AND(YEAR(JunSun1+40)=$A$1,MONTH(JunSun1+40)=6),JunSun1+40, "")</f>
        <v/>
      </c>
      <c r="Q29" s="13" t="str">
        <f>IF(AND(YEAR(JunSun1+41)=$A$1,MONTH(JunSun1+41)=6),JunSun1+41, "")</f>
        <v/>
      </c>
      <c r="R29" s="12"/>
      <c r="S29" s="13" t="str">
        <f>IF(AND(YEAR(SepSun1+35)=$A$1,MONTH(SepSun1+35)=9),SepSun1+35, "")</f>
        <v/>
      </c>
      <c r="T29" s="14" t="str">
        <f>IF(AND(YEAR(SepSun1+36)=$A$1,MONTH(SepSun1+36)=9),SepSun1+36, "")</f>
        <v/>
      </c>
      <c r="U29" s="13" t="str">
        <f>IF(AND(YEAR(SepSun1+37)=$A$1,MONTH(SepSun1+37)=9),SepSun1+37, "")</f>
        <v/>
      </c>
      <c r="V29" s="13" t="str">
        <f>IF(AND(YEAR(SepSun1+38)=$A$1,MONTH(SepSun1+38)=9),SepSun1+38, "")</f>
        <v/>
      </c>
      <c r="W29" s="13" t="str">
        <f>IF(AND(YEAR(SepSun1+39)=$A$1,MONTH(SepSun1+39)=9),SepSun1+39, "")</f>
        <v/>
      </c>
      <c r="X29" s="13" t="str">
        <f>IF(AND(YEAR(SepSun1+40)=$A$1,MONTH(SepSun1+40)=9),SepSun1+40, "")</f>
        <v/>
      </c>
      <c r="Y29" s="13" t="str">
        <f>IF(AND(YEAR(SepSun1+41)=$A$1,MONTH(SepSun1+41)=9),SepSun1+41, "")</f>
        <v/>
      </c>
      <c r="Z29" s="12"/>
      <c r="AA29" s="13" t="str">
        <f>IF(AND(YEAR(DecSun1+35)=$A$1,MONTH(DecSun1+35)=12),DecSun1+35, "")</f>
        <v/>
      </c>
      <c r="AB29" s="13" t="str">
        <f>IF(AND(YEAR(DecSun1+36)=$A$1,MONTH(DecSun1+36)=12),DecSun1+36, "")</f>
        <v/>
      </c>
      <c r="AC29" s="13" t="str">
        <f>IF(AND(YEAR(DecSun1+37)=$A$1,MONTH(DecSun1+37)=12),DecSun1+37, "")</f>
        <v/>
      </c>
      <c r="AD29" s="13" t="str">
        <f>IF(AND(YEAR(DecSun1+38)=$A$1,MONTH(DecSun1+38)=12),DecSun1+38, "")</f>
        <v/>
      </c>
      <c r="AE29" s="13" t="str">
        <f>IF(AND(YEAR(DecSun1+39)=$A$1,MONTH(DecSun1+39)=12),DecSun1+39, "")</f>
        <v/>
      </c>
      <c r="AF29" s="13" t="str">
        <f>IF(AND(YEAR(DecSun1+40)=$A$1,MONTH(DecSun1+40)=12),DecSun1+40, "")</f>
        <v/>
      </c>
      <c r="AG29" s="13" t="str">
        <f>IF(AND(YEAR(DecSun1+41)=$A$1,MONTH(DecSun1+41)=12),DecSun1+41, "")</f>
        <v/>
      </c>
    </row>
    <row r="30" spans="2:37" x14ac:dyDescent="0.2">
      <c r="B30" s="8"/>
      <c r="C30" s="8"/>
      <c r="D30" s="8"/>
      <c r="E30" s="8"/>
      <c r="F30" s="8"/>
      <c r="G30" s="8"/>
      <c r="H30" s="8"/>
      <c r="I30" s="8"/>
      <c r="K30" s="8"/>
      <c r="L30" s="8"/>
      <c r="M30" s="8"/>
      <c r="N30" s="8"/>
      <c r="O30" s="8"/>
      <c r="P30" s="8"/>
      <c r="Q30" s="8"/>
      <c r="S30" s="8"/>
      <c r="T30" s="8"/>
      <c r="U30" s="8"/>
      <c r="V30" s="8"/>
      <c r="W30" s="8"/>
      <c r="X30" s="8"/>
      <c r="Y30" s="8"/>
      <c r="AA30" s="8"/>
      <c r="AB30" s="8"/>
      <c r="AC30" s="8"/>
      <c r="AD30" s="8"/>
      <c r="AE30" s="8"/>
      <c r="AF30" s="8"/>
      <c r="AG30" s="8"/>
    </row>
    <row r="31" spans="2:37" x14ac:dyDescent="0.2">
      <c r="B31" s="8"/>
      <c r="C31" s="8"/>
      <c r="D31" s="8"/>
      <c r="E31" s="8"/>
      <c r="F31" s="8"/>
      <c r="G31" s="8"/>
      <c r="H31" s="8"/>
      <c r="I31" s="8"/>
      <c r="K31" s="8"/>
      <c r="L31" s="8"/>
      <c r="M31" s="8"/>
      <c r="N31" s="8"/>
      <c r="O31" s="8"/>
      <c r="P31" s="8"/>
      <c r="Q31" s="8"/>
      <c r="S31" s="8"/>
      <c r="T31" s="8"/>
      <c r="U31" s="8"/>
      <c r="V31" s="8"/>
      <c r="W31" s="8"/>
      <c r="X31" s="8"/>
      <c r="Y31" s="8"/>
      <c r="AC31" s="23"/>
      <c r="AD31" s="23"/>
      <c r="AE31" s="23"/>
      <c r="AF31" s="27" t="s">
        <v>20</v>
      </c>
      <c r="AG31" s="25"/>
      <c r="AH31" s="24"/>
      <c r="AI31" s="24"/>
    </row>
    <row r="32" spans="2:37" x14ac:dyDescent="0.2">
      <c r="B32" s="8"/>
      <c r="C32" s="8"/>
      <c r="D32" s="8"/>
      <c r="E32" s="8"/>
      <c r="F32" s="8"/>
      <c r="G32" s="8"/>
      <c r="H32" s="8"/>
      <c r="I32" s="8"/>
      <c r="K32" s="8"/>
      <c r="L32" s="8"/>
      <c r="M32" s="8"/>
      <c r="N32" s="8"/>
      <c r="O32" s="8"/>
      <c r="P32" s="8"/>
      <c r="Q32" s="8"/>
      <c r="S32" s="8"/>
      <c r="T32" s="8"/>
      <c r="U32" s="8"/>
      <c r="V32" s="8"/>
      <c r="W32" s="8"/>
      <c r="X32" s="8"/>
      <c r="Y32" s="8"/>
      <c r="AC32" s="20"/>
      <c r="AD32" s="20"/>
      <c r="AE32" s="20"/>
      <c r="AF32" s="28" t="s">
        <v>19</v>
      </c>
      <c r="AG32" s="19"/>
    </row>
    <row r="33" spans="2:40" x14ac:dyDescent="0.2">
      <c r="B33" s="8"/>
      <c r="C33" s="8"/>
      <c r="D33" s="8"/>
      <c r="E33" s="8"/>
      <c r="F33" s="8"/>
      <c r="G33" s="8"/>
      <c r="H33" s="8"/>
      <c r="I33" s="8"/>
      <c r="K33" s="8"/>
      <c r="L33" s="8"/>
      <c r="M33" s="8"/>
      <c r="N33" s="8"/>
      <c r="O33" s="8"/>
      <c r="P33" s="8"/>
      <c r="Q33" s="8"/>
      <c r="S33" s="8"/>
      <c r="T33" s="8"/>
      <c r="U33" s="8"/>
      <c r="V33" s="8"/>
      <c r="W33" s="8"/>
      <c r="X33" s="21"/>
      <c r="Y33" s="21"/>
      <c r="AA33" s="8"/>
      <c r="AB33" s="8"/>
      <c r="AC33" s="8"/>
      <c r="AD33" s="8"/>
      <c r="AE33" s="8"/>
      <c r="AF33" s="8"/>
      <c r="AG33" s="10" t="s">
        <v>17</v>
      </c>
    </row>
    <row r="34" spans="2:40" x14ac:dyDescent="0.2">
      <c r="X34" s="6"/>
      <c r="Y34" s="6"/>
      <c r="Z34" s="6"/>
      <c r="AA34" s="20"/>
      <c r="AH34" s="6"/>
      <c r="AI34" s="6"/>
    </row>
    <row r="35" spans="2:40" x14ac:dyDescent="0.2"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N35" s="6"/>
    </row>
  </sheetData>
  <mergeCells count="14">
    <mergeCell ref="AA22:AG22"/>
    <mergeCell ref="C22:I22"/>
    <mergeCell ref="K22:Q22"/>
    <mergeCell ref="S22:Y22"/>
    <mergeCell ref="C1:AG1"/>
    <mergeCell ref="C2:AG2"/>
    <mergeCell ref="S4:Y4"/>
    <mergeCell ref="S13:Y13"/>
    <mergeCell ref="C4:I4"/>
    <mergeCell ref="C13:I13"/>
    <mergeCell ref="K4:Q4"/>
    <mergeCell ref="K13:Q13"/>
    <mergeCell ref="AA4:AG4"/>
    <mergeCell ref="AA13:AG13"/>
  </mergeCells>
  <phoneticPr fontId="1" type="noConversion"/>
  <dataValidations count="1">
    <dataValidation type="whole" allowBlank="1" showInputMessage="1" showErrorMessage="1" sqref="A1:B3">
      <formula1>1900</formula1>
      <formula2>9999</formula2>
    </dataValidation>
  </dataValidations>
  <printOptions horizontalCentered="1" verticalCentered="1"/>
  <pageMargins left="0.25" right="0.25" top="0.39" bottom="0.43" header="0.3" footer="0.3"/>
  <pageSetup scale="9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>
                  <from>
                    <xdr:col>1</xdr:col>
                    <xdr:colOff>9525</xdr:colOff>
                    <xdr:row>0</xdr:row>
                    <xdr:rowOff>0</xdr:rowOff>
                  </from>
                  <to>
                    <xdr:col>1</xdr:col>
                    <xdr:colOff>152400</xdr:colOff>
                    <xdr:row>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Graci</dc:creator>
  <cp:lastModifiedBy>Alexandra Hill</cp:lastModifiedBy>
  <cp:lastPrinted>2018-05-11T19:02:22Z</cp:lastPrinted>
  <dcterms:created xsi:type="dcterms:W3CDTF">2010-07-29T15:57:59Z</dcterms:created>
  <dcterms:modified xsi:type="dcterms:W3CDTF">2019-10-28T19:42:32Z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TC102741249990</vt:lpwstr>
  </property>
  <property fmtid="{D5CDD505-2E9C-101B-9397-08002B2CF9AE}" pid="3" name="Jet Reports Drill Button Active">
    <vt:bool>false</vt:bool>
  </property>
</Properties>
</file>