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gvt.sharepoint.com/sites/Teams-EBD/Shared Documents/General/3-Accounts (Outside SBU)/1-Active Accounts/VSC/Reports/"/>
    </mc:Choice>
  </mc:AlternateContent>
  <xr:revisionPtr revIDLastSave="308" documentId="13_ncr:4000b_{D2956402-5450-4A20-829C-05B7A3C8E6B4}" xr6:coauthVersionLast="47" xr6:coauthVersionMax="47" xr10:uidLastSave="{6A060624-7DA7-4ED6-AE3F-9EB83609E3AA}"/>
  <bookViews>
    <workbookView xWindow="-28920" yWindow="-120" windowWidth="29040" windowHeight="15840" activeTab="1" xr2:uid="{00000000-000D-0000-FFFF-FFFF00000000}"/>
  </bookViews>
  <sheets>
    <sheet name="Data" sheetId="21" r:id="rId1"/>
    <sheet name="2022" sheetId="25" r:id="rId2"/>
    <sheet name="2021" sheetId="24" r:id="rId3"/>
    <sheet name="2020" sheetId="22" r:id="rId4"/>
    <sheet name="Calc Sheet 2014 (2)" sheetId="11" state="hidden" r:id="rId5"/>
    <sheet name="Calc Sheet 2014" sheetId="7" state="hidden" r:id="rId6"/>
  </sheets>
  <definedNames>
    <definedName name="_xlnm.Print_Area" localSheetId="3">'2020'!$A$1:$O$86</definedName>
    <definedName name="_xlnm.Print_Area" localSheetId="2">'2021'!$A$1:$O$86</definedName>
    <definedName name="_xlnm.Print_Area" localSheetId="1">'2022'!$A$1:$O$86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25" l="1"/>
  <c r="J79" i="25"/>
  <c r="K79" i="25"/>
  <c r="L79" i="25"/>
  <c r="M79" i="25"/>
  <c r="B79" i="25"/>
  <c r="E79" i="25" s="1"/>
  <c r="C79" i="25"/>
  <c r="D79" i="25"/>
  <c r="I62" i="25"/>
  <c r="J62" i="25"/>
  <c r="K62" i="25"/>
  <c r="L62" i="25"/>
  <c r="M62" i="25"/>
  <c r="B62" i="25"/>
  <c r="C62" i="25"/>
  <c r="D62" i="25"/>
  <c r="E62" i="25"/>
  <c r="F62" i="25"/>
  <c r="I45" i="25"/>
  <c r="J45" i="25"/>
  <c r="K45" i="25"/>
  <c r="L45" i="25"/>
  <c r="M45" i="25" s="1"/>
  <c r="B45" i="25"/>
  <c r="C45" i="25"/>
  <c r="D45" i="25"/>
  <c r="E45" i="25"/>
  <c r="F45" i="25"/>
  <c r="I26" i="25"/>
  <c r="J26" i="25"/>
  <c r="B26" i="25"/>
  <c r="D26" i="25" s="1"/>
  <c r="C26" i="25"/>
  <c r="I9" i="25"/>
  <c r="M9" i="25" s="1"/>
  <c r="O9" i="25" s="1"/>
  <c r="J9" i="25"/>
  <c r="K9" i="25"/>
  <c r="L9" i="25"/>
  <c r="N9" i="25"/>
  <c r="B9" i="25"/>
  <c r="C9" i="25"/>
  <c r="D9" i="25"/>
  <c r="E9" i="25"/>
  <c r="F9" i="25"/>
  <c r="CD56" i="21"/>
  <c r="B56" i="21"/>
  <c r="I78" i="25"/>
  <c r="M78" i="25" s="1"/>
  <c r="J78" i="25"/>
  <c r="K78" i="25"/>
  <c r="L78" i="25"/>
  <c r="B78" i="25"/>
  <c r="E78" i="25" s="1"/>
  <c r="C78" i="25"/>
  <c r="D78" i="25"/>
  <c r="I61" i="25"/>
  <c r="J61" i="25"/>
  <c r="K61" i="25"/>
  <c r="L61" i="25"/>
  <c r="M61" i="25" s="1"/>
  <c r="B61" i="25"/>
  <c r="C61" i="25"/>
  <c r="D61" i="25"/>
  <c r="E61" i="25"/>
  <c r="F61" i="25"/>
  <c r="I44" i="25"/>
  <c r="J44" i="25"/>
  <c r="K44" i="25"/>
  <c r="L44" i="25"/>
  <c r="M44" i="25" s="1"/>
  <c r="B44" i="25"/>
  <c r="C44" i="25"/>
  <c r="D44" i="25"/>
  <c r="E44" i="25"/>
  <c r="F44" i="25"/>
  <c r="I25" i="25"/>
  <c r="J25" i="25"/>
  <c r="B25" i="25"/>
  <c r="C25" i="25"/>
  <c r="D25" i="25" s="1"/>
  <c r="I8" i="25"/>
  <c r="J8" i="25"/>
  <c r="M8" i="25" s="1"/>
  <c r="O8" i="25" s="1"/>
  <c r="K8" i="25"/>
  <c r="L8" i="25"/>
  <c r="N8" i="25"/>
  <c r="B8" i="25"/>
  <c r="C8" i="25"/>
  <c r="D8" i="25"/>
  <c r="E8" i="25"/>
  <c r="F8" i="25"/>
  <c r="CD55" i="21"/>
  <c r="B55" i="21"/>
  <c r="I77" i="25"/>
  <c r="J77" i="25"/>
  <c r="M77" i="25" s="1"/>
  <c r="K77" i="25"/>
  <c r="L77" i="25"/>
  <c r="B77" i="25"/>
  <c r="E77" i="25" s="1"/>
  <c r="C77" i="25"/>
  <c r="D77" i="25"/>
  <c r="D86" i="25" s="1"/>
  <c r="CD54" i="21"/>
  <c r="I60" i="25"/>
  <c r="M60" i="25" s="1"/>
  <c r="J60" i="25"/>
  <c r="K60" i="25"/>
  <c r="L60" i="25"/>
  <c r="B60" i="25"/>
  <c r="C60" i="25"/>
  <c r="D60" i="25"/>
  <c r="E60" i="25"/>
  <c r="F60" i="25"/>
  <c r="I43" i="25"/>
  <c r="J43" i="25"/>
  <c r="K43" i="25"/>
  <c r="L43" i="25"/>
  <c r="M43" i="25" s="1"/>
  <c r="B43" i="25"/>
  <c r="C43" i="25"/>
  <c r="D43" i="25"/>
  <c r="E43" i="25"/>
  <c r="F43" i="25"/>
  <c r="I24" i="25"/>
  <c r="J24" i="25"/>
  <c r="B24" i="25"/>
  <c r="C24" i="25"/>
  <c r="D24" i="25" s="1"/>
  <c r="I7" i="25"/>
  <c r="M7" i="25" s="1"/>
  <c r="O7" i="25" s="1"/>
  <c r="J7" i="25"/>
  <c r="K7" i="25"/>
  <c r="L7" i="25"/>
  <c r="N7" i="25"/>
  <c r="B7" i="25"/>
  <c r="C7" i="25"/>
  <c r="D7" i="25"/>
  <c r="E7" i="25"/>
  <c r="F7" i="25"/>
  <c r="B54" i="21"/>
  <c r="I23" i="25"/>
  <c r="I22" i="25"/>
  <c r="I21" i="25"/>
  <c r="D21" i="24"/>
  <c r="I21" i="24"/>
  <c r="I33" i="24"/>
  <c r="O22" i="24"/>
  <c r="M59" i="25"/>
  <c r="I32" i="24"/>
  <c r="I31" i="24"/>
  <c r="I30" i="24"/>
  <c r="I29" i="24"/>
  <c r="I28" i="24"/>
  <c r="I27" i="24"/>
  <c r="I26" i="24"/>
  <c r="I25" i="24"/>
  <c r="I24" i="24"/>
  <c r="I23" i="24"/>
  <c r="I22" i="24"/>
  <c r="P27" i="24"/>
  <c r="J21" i="24"/>
  <c r="E51" i="21"/>
  <c r="D51" i="21"/>
  <c r="I76" i="25"/>
  <c r="J76" i="25"/>
  <c r="K76" i="25"/>
  <c r="L76" i="25"/>
  <c r="M76" i="25"/>
  <c r="B76" i="25"/>
  <c r="C76" i="25"/>
  <c r="D76" i="25"/>
  <c r="E76" i="25"/>
  <c r="I59" i="25"/>
  <c r="J59" i="25"/>
  <c r="K59" i="25"/>
  <c r="L59" i="25"/>
  <c r="B59" i="25"/>
  <c r="C59" i="25"/>
  <c r="D59" i="25"/>
  <c r="E59" i="25"/>
  <c r="F59" i="25"/>
  <c r="I42" i="25"/>
  <c r="J42" i="25"/>
  <c r="K42" i="25"/>
  <c r="L42" i="25"/>
  <c r="M42" i="25" s="1"/>
  <c r="B42" i="25"/>
  <c r="C42" i="25"/>
  <c r="D42" i="25"/>
  <c r="E42" i="25"/>
  <c r="F42" i="25"/>
  <c r="K23" i="25"/>
  <c r="J23" i="25"/>
  <c r="B23" i="25"/>
  <c r="D23" i="25" s="1"/>
  <c r="C23" i="25"/>
  <c r="I6" i="25"/>
  <c r="M6" i="25" s="1"/>
  <c r="O6" i="25" s="1"/>
  <c r="J6" i="25"/>
  <c r="K6" i="25"/>
  <c r="K16" i="25" s="1"/>
  <c r="L6" i="25"/>
  <c r="N6" i="25"/>
  <c r="B6" i="25"/>
  <c r="C6" i="25"/>
  <c r="D6" i="25"/>
  <c r="E6" i="25"/>
  <c r="F6" i="25"/>
  <c r="CD53" i="21"/>
  <c r="J22" i="25"/>
  <c r="J21" i="25"/>
  <c r="L5" i="25"/>
  <c r="L4" i="25"/>
  <c r="J22" i="24"/>
  <c r="J23" i="24"/>
  <c r="J24" i="24"/>
  <c r="J25" i="24"/>
  <c r="J26" i="24"/>
  <c r="J27" i="24"/>
  <c r="J28" i="24"/>
  <c r="K28" i="24" s="1"/>
  <c r="J29" i="24"/>
  <c r="J30" i="24"/>
  <c r="J31" i="24"/>
  <c r="J32" i="24"/>
  <c r="K32" i="24" s="1"/>
  <c r="L5" i="24"/>
  <c r="L6" i="24"/>
  <c r="L7" i="24"/>
  <c r="L8" i="24"/>
  <c r="L9" i="24"/>
  <c r="L10" i="24"/>
  <c r="L11" i="24"/>
  <c r="L12" i="24"/>
  <c r="L13" i="24"/>
  <c r="L14" i="24"/>
  <c r="L15" i="24"/>
  <c r="L4" i="24"/>
  <c r="J22" i="22"/>
  <c r="J23" i="22"/>
  <c r="J24" i="22"/>
  <c r="J25" i="22"/>
  <c r="J26" i="22"/>
  <c r="J27" i="22"/>
  <c r="J28" i="22"/>
  <c r="J29" i="22"/>
  <c r="J30" i="22"/>
  <c r="J31" i="22"/>
  <c r="J32" i="22"/>
  <c r="J21" i="22"/>
  <c r="BA16" i="21"/>
  <c r="BA17" i="21"/>
  <c r="BA18" i="21"/>
  <c r="BA19" i="21"/>
  <c r="BA20" i="21"/>
  <c r="BA21" i="21"/>
  <c r="BA22" i="21"/>
  <c r="BA23" i="21"/>
  <c r="BA24" i="21"/>
  <c r="BA25" i="21"/>
  <c r="BA26" i="21"/>
  <c r="BA27" i="21"/>
  <c r="BA28" i="21"/>
  <c r="BA29" i="21"/>
  <c r="BA30" i="21"/>
  <c r="BA31" i="21"/>
  <c r="BA32" i="21"/>
  <c r="BA33" i="21"/>
  <c r="BA34" i="21"/>
  <c r="BA35" i="21"/>
  <c r="BA36" i="21"/>
  <c r="BA37" i="21"/>
  <c r="BA38" i="21"/>
  <c r="BA39" i="21"/>
  <c r="BA40" i="21"/>
  <c r="BA41" i="21"/>
  <c r="BA42" i="21"/>
  <c r="BA43" i="21"/>
  <c r="BA44" i="21"/>
  <c r="BA45" i="21"/>
  <c r="BA46" i="21"/>
  <c r="BA47" i="21"/>
  <c r="BA48" i="21"/>
  <c r="BA49" i="21"/>
  <c r="BA50" i="21"/>
  <c r="BA51" i="21"/>
  <c r="BA52" i="21"/>
  <c r="BA53" i="21"/>
  <c r="BA54" i="21"/>
  <c r="BA55" i="21"/>
  <c r="BA56" i="21"/>
  <c r="BA57" i="21"/>
  <c r="BA58" i="21"/>
  <c r="BA59" i="21"/>
  <c r="BA60" i="21"/>
  <c r="BA61" i="21"/>
  <c r="BA62" i="21"/>
  <c r="BA15" i="21"/>
  <c r="B22" i="25"/>
  <c r="CD52" i="21"/>
  <c r="B75" i="25" s="1"/>
  <c r="C75" i="25"/>
  <c r="D75" i="25"/>
  <c r="L58" i="25"/>
  <c r="B58" i="25"/>
  <c r="C58" i="25"/>
  <c r="D58" i="25"/>
  <c r="E58" i="25"/>
  <c r="L41" i="25"/>
  <c r="B41" i="25"/>
  <c r="C41" i="25"/>
  <c r="D41" i="25"/>
  <c r="E41" i="25"/>
  <c r="J5" i="25"/>
  <c r="K5" i="25"/>
  <c r="C22" i="25"/>
  <c r="B5" i="25"/>
  <c r="C5" i="25"/>
  <c r="D5" i="25"/>
  <c r="E5" i="25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8" i="21"/>
  <c r="AB41" i="21"/>
  <c r="AB49" i="21"/>
  <c r="AC5" i="21"/>
  <c r="CD51" i="21"/>
  <c r="B74" i="25" s="1"/>
  <c r="E74" i="25" s="1"/>
  <c r="L74" i="25" s="1"/>
  <c r="O29" i="24"/>
  <c r="D74" i="25"/>
  <c r="C74" i="25"/>
  <c r="L57" i="25"/>
  <c r="E57" i="25"/>
  <c r="E69" i="25" s="1"/>
  <c r="D57" i="25"/>
  <c r="D69" i="25"/>
  <c r="C57" i="25"/>
  <c r="B57" i="25"/>
  <c r="B69" i="25" s="1"/>
  <c r="L40" i="25"/>
  <c r="E40" i="25"/>
  <c r="E52" i="25" s="1"/>
  <c r="D40" i="25"/>
  <c r="C40" i="25"/>
  <c r="B40" i="25"/>
  <c r="B52" i="25" s="1"/>
  <c r="C21" i="25"/>
  <c r="B21" i="25"/>
  <c r="K4" i="25"/>
  <c r="J4" i="25"/>
  <c r="E4" i="25"/>
  <c r="E16" i="25"/>
  <c r="D4" i="25"/>
  <c r="C4" i="25"/>
  <c r="B4" i="25"/>
  <c r="H40" i="25"/>
  <c r="H41" i="25" s="1"/>
  <c r="H42" i="25" s="1"/>
  <c r="H43" i="25"/>
  <c r="H44" i="25" s="1"/>
  <c r="H45" i="25" s="1"/>
  <c r="H46" i="25" s="1"/>
  <c r="H47" i="25" s="1"/>
  <c r="H48" i="25" s="1"/>
  <c r="H49" i="25" s="1"/>
  <c r="H50" i="25" s="1"/>
  <c r="H51" i="25" s="1"/>
  <c r="A40" i="25"/>
  <c r="A41" i="25"/>
  <c r="A42" i="25"/>
  <c r="A43" i="25"/>
  <c r="A44" i="25"/>
  <c r="A45" i="25"/>
  <c r="A46" i="25"/>
  <c r="A47" i="25"/>
  <c r="A48" i="25"/>
  <c r="A49" i="25"/>
  <c r="A50" i="25"/>
  <c r="A51" i="25"/>
  <c r="H21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H4" i="25"/>
  <c r="H5" i="25" s="1"/>
  <c r="H6" i="25" s="1"/>
  <c r="H7" i="25" s="1"/>
  <c r="H8" i="25" s="1"/>
  <c r="H9" i="25" s="1"/>
  <c r="H10" i="25"/>
  <c r="H11" i="25" s="1"/>
  <c r="H12" i="25" s="1"/>
  <c r="H13" i="25" s="1"/>
  <c r="H14" i="25" s="1"/>
  <c r="H15" i="25" s="1"/>
  <c r="O24" i="25"/>
  <c r="O23" i="25"/>
  <c r="H22" i="25"/>
  <c r="H23" i="25"/>
  <c r="H24" i="25"/>
  <c r="H25" i="25"/>
  <c r="H26" i="25"/>
  <c r="H27" i="25"/>
  <c r="H28" i="25"/>
  <c r="H29" i="25"/>
  <c r="H30" i="25"/>
  <c r="H31" i="25"/>
  <c r="H32" i="25"/>
  <c r="A5" i="25"/>
  <c r="A6" i="25"/>
  <c r="A7" i="25"/>
  <c r="A8" i="25"/>
  <c r="A9" i="25"/>
  <c r="A10" i="25"/>
  <c r="A11" i="25"/>
  <c r="A12" i="25"/>
  <c r="A13" i="25"/>
  <c r="A14" i="25"/>
  <c r="A15" i="25"/>
  <c r="CC51" i="21"/>
  <c r="CB51" i="21"/>
  <c r="BS51" i="21" s="1"/>
  <c r="J57" i="25" s="1"/>
  <c r="CA51" i="21"/>
  <c r="BZ51" i="21"/>
  <c r="BU62" i="21"/>
  <c r="BS62" i="21"/>
  <c r="BU61" i="21"/>
  <c r="BS61" i="21"/>
  <c r="BU60" i="21"/>
  <c r="BS60" i="21"/>
  <c r="BU59" i="21"/>
  <c r="BS59" i="21"/>
  <c r="BU58" i="21"/>
  <c r="BS58" i="21"/>
  <c r="BT58" i="21"/>
  <c r="BU57" i="21"/>
  <c r="BS57" i="21"/>
  <c r="BU56" i="21"/>
  <c r="BS56" i="21"/>
  <c r="BU55" i="21"/>
  <c r="BS55" i="21"/>
  <c r="BU54" i="21"/>
  <c r="BS54" i="21"/>
  <c r="BU53" i="21"/>
  <c r="BS53" i="21"/>
  <c r="BU52" i="21"/>
  <c r="F58" i="25" s="1"/>
  <c r="F69" i="25" s="1"/>
  <c r="BS52" i="21"/>
  <c r="J58" i="25" s="1"/>
  <c r="BU51" i="21"/>
  <c r="F57" i="25"/>
  <c r="BR62" i="21"/>
  <c r="BR61" i="21"/>
  <c r="BR60" i="21"/>
  <c r="BT60" i="21" s="1"/>
  <c r="BR59" i="21"/>
  <c r="BT59" i="21" s="1"/>
  <c r="BR58" i="21"/>
  <c r="BR57" i="21"/>
  <c r="BT57" i="21"/>
  <c r="BR56" i="21"/>
  <c r="BR55" i="21"/>
  <c r="BT55" i="21" s="1"/>
  <c r="BR54" i="21"/>
  <c r="BT54" i="21" s="1"/>
  <c r="BR53" i="21"/>
  <c r="BR52" i="21"/>
  <c r="BT52" i="21" s="1"/>
  <c r="K58" i="25" s="1"/>
  <c r="K75" i="25" s="1"/>
  <c r="BR51" i="21"/>
  <c r="I57" i="25"/>
  <c r="BE51" i="21"/>
  <c r="BB51" i="21"/>
  <c r="I40" i="25" s="1"/>
  <c r="BL51" i="21"/>
  <c r="BK51" i="21"/>
  <c r="BJ51" i="21"/>
  <c r="BI51" i="21"/>
  <c r="BC62" i="21"/>
  <c r="BB62" i="21"/>
  <c r="BD62" i="21" s="1"/>
  <c r="BC61" i="21"/>
  <c r="BB61" i="21"/>
  <c r="BD61" i="21" s="1"/>
  <c r="BC60" i="21"/>
  <c r="BB60" i="21"/>
  <c r="BC59" i="21"/>
  <c r="BB59" i="21"/>
  <c r="BC58" i="21"/>
  <c r="BB58" i="21"/>
  <c r="BC57" i="21"/>
  <c r="BB57" i="21"/>
  <c r="BC56" i="21"/>
  <c r="BB56" i="21"/>
  <c r="BD56" i="21"/>
  <c r="BC55" i="21"/>
  <c r="BB55" i="21"/>
  <c r="BC54" i="21"/>
  <c r="BB54" i="21"/>
  <c r="BC53" i="21"/>
  <c r="BB53" i="21"/>
  <c r="BD53" i="21" s="1"/>
  <c r="BC52" i="21"/>
  <c r="J41" i="25" s="1"/>
  <c r="BB52" i="21"/>
  <c r="AV62" i="21"/>
  <c r="AV61" i="21"/>
  <c r="AV60" i="21"/>
  <c r="AV59" i="21"/>
  <c r="AV58" i="21"/>
  <c r="AV57" i="21"/>
  <c r="AV56" i="21"/>
  <c r="AV55" i="21"/>
  <c r="AV54" i="21"/>
  <c r="AV53" i="21"/>
  <c r="AV52" i="21"/>
  <c r="F41" i="25" s="1"/>
  <c r="AV51" i="21"/>
  <c r="F40" i="25"/>
  <c r="AH52" i="21"/>
  <c r="N5" i="25" s="1"/>
  <c r="AH53" i="21"/>
  <c r="AH54" i="21"/>
  <c r="AH55" i="21"/>
  <c r="AH56" i="21"/>
  <c r="AH57" i="21"/>
  <c r="AH58" i="21"/>
  <c r="AH59" i="21"/>
  <c r="AH60" i="21"/>
  <c r="AH61" i="21"/>
  <c r="AH62" i="21"/>
  <c r="AG51" i="21"/>
  <c r="AF51" i="21"/>
  <c r="AE51" i="21"/>
  <c r="AD51" i="21"/>
  <c r="AH51" i="21" s="1"/>
  <c r="N4" i="25" s="1"/>
  <c r="AP51" i="21"/>
  <c r="AO51" i="21"/>
  <c r="AN51" i="21"/>
  <c r="AM51" i="21"/>
  <c r="A57" i="25"/>
  <c r="O25" i="25"/>
  <c r="L69" i="25"/>
  <c r="BT62" i="21"/>
  <c r="BT61" i="21"/>
  <c r="BD59" i="21"/>
  <c r="BD57" i="21"/>
  <c r="BD60" i="21"/>
  <c r="BD58" i="21"/>
  <c r="Z62" i="21"/>
  <c r="Z61" i="21"/>
  <c r="Z60" i="21"/>
  <c r="Z59" i="21"/>
  <c r="Z58" i="21"/>
  <c r="Z57" i="21"/>
  <c r="Z56" i="21"/>
  <c r="AB58" i="21" s="1"/>
  <c r="Z55" i="21"/>
  <c r="Z54" i="21"/>
  <c r="Z53" i="21"/>
  <c r="Z52" i="21"/>
  <c r="F5" i="25" s="1"/>
  <c r="Z51" i="21"/>
  <c r="I62" i="21"/>
  <c r="H62" i="21"/>
  <c r="G62" i="21"/>
  <c r="F62" i="21"/>
  <c r="AC62" i="21" s="1"/>
  <c r="I61" i="21"/>
  <c r="H61" i="21"/>
  <c r="G61" i="21"/>
  <c r="F61" i="21"/>
  <c r="D61" i="21" s="1"/>
  <c r="I60" i="21"/>
  <c r="H60" i="21"/>
  <c r="G60" i="21"/>
  <c r="F60" i="21"/>
  <c r="D60" i="21" s="1"/>
  <c r="I59" i="21"/>
  <c r="H59" i="21"/>
  <c r="G59" i="21"/>
  <c r="F59" i="21"/>
  <c r="I58" i="21"/>
  <c r="H58" i="21"/>
  <c r="D58" i="21" s="1"/>
  <c r="G58" i="21"/>
  <c r="F58" i="21"/>
  <c r="I57" i="21"/>
  <c r="H57" i="21"/>
  <c r="G57" i="21"/>
  <c r="F57" i="21"/>
  <c r="AC57" i="21" s="1"/>
  <c r="I56" i="21"/>
  <c r="H56" i="21"/>
  <c r="G56" i="21"/>
  <c r="F56" i="21"/>
  <c r="AC56" i="21" s="1"/>
  <c r="I55" i="21"/>
  <c r="H55" i="21"/>
  <c r="G55" i="21"/>
  <c r="D55" i="21" s="1"/>
  <c r="F55" i="21"/>
  <c r="AC55" i="21" s="1"/>
  <c r="I54" i="21"/>
  <c r="H54" i="21"/>
  <c r="G54" i="21"/>
  <c r="F54" i="21"/>
  <c r="I53" i="21"/>
  <c r="H53" i="21"/>
  <c r="G53" i="21"/>
  <c r="F53" i="21"/>
  <c r="AB53" i="21" s="1"/>
  <c r="D53" i="21"/>
  <c r="I52" i="21"/>
  <c r="H52" i="21"/>
  <c r="G52" i="21"/>
  <c r="F52" i="21"/>
  <c r="I5" i="25" s="1"/>
  <c r="M5" i="25" s="1"/>
  <c r="I51" i="21"/>
  <c r="H51" i="21"/>
  <c r="G51" i="21"/>
  <c r="F51" i="21"/>
  <c r="AC51" i="21" s="1"/>
  <c r="E62" i="21"/>
  <c r="E61" i="21"/>
  <c r="E60" i="21"/>
  <c r="E59" i="21"/>
  <c r="E58" i="21"/>
  <c r="E57" i="21"/>
  <c r="E56" i="21"/>
  <c r="E55" i="21"/>
  <c r="E54" i="21"/>
  <c r="E53" i="21"/>
  <c r="E52" i="21"/>
  <c r="C85" i="24"/>
  <c r="D85" i="24"/>
  <c r="L68" i="24"/>
  <c r="B68" i="24"/>
  <c r="C68" i="24"/>
  <c r="D68" i="24"/>
  <c r="E68" i="24"/>
  <c r="L51" i="24"/>
  <c r="B51" i="24"/>
  <c r="C51" i="24"/>
  <c r="D51" i="24"/>
  <c r="E51" i="24"/>
  <c r="B32" i="24"/>
  <c r="C32" i="24"/>
  <c r="D32" i="24"/>
  <c r="I15" i="24"/>
  <c r="M15" i="24" s="1"/>
  <c r="J15" i="24"/>
  <c r="K15" i="24"/>
  <c r="B15" i="24"/>
  <c r="C15" i="24"/>
  <c r="D15" i="24"/>
  <c r="E15" i="24"/>
  <c r="CD50" i="21"/>
  <c r="B85" i="24" s="1"/>
  <c r="E85" i="24" s="1"/>
  <c r="L85" i="24" s="1"/>
  <c r="B83" i="24"/>
  <c r="E83" i="24" s="1"/>
  <c r="L83" i="24" s="1"/>
  <c r="C83" i="24"/>
  <c r="D83" i="24"/>
  <c r="C84" i="24"/>
  <c r="D84" i="24"/>
  <c r="L66" i="24"/>
  <c r="M66" i="24" s="1"/>
  <c r="I67" i="24"/>
  <c r="M67" i="24" s="1"/>
  <c r="L67" i="24"/>
  <c r="B66" i="24"/>
  <c r="C66" i="24"/>
  <c r="D66" i="24"/>
  <c r="E66" i="24"/>
  <c r="B67" i="24"/>
  <c r="C67" i="24"/>
  <c r="D67" i="24"/>
  <c r="E67" i="24"/>
  <c r="L49" i="24"/>
  <c r="L50" i="24"/>
  <c r="B49" i="24"/>
  <c r="C49" i="24"/>
  <c r="D49" i="24"/>
  <c r="E49" i="24"/>
  <c r="B50" i="24"/>
  <c r="C50" i="24"/>
  <c r="D50" i="24"/>
  <c r="E50" i="24"/>
  <c r="B30" i="24"/>
  <c r="D30" i="24" s="1"/>
  <c r="C30" i="24"/>
  <c r="B31" i="24"/>
  <c r="D31" i="24" s="1"/>
  <c r="C31" i="24"/>
  <c r="I13" i="24"/>
  <c r="J13" i="24"/>
  <c r="K13" i="24"/>
  <c r="I14" i="24"/>
  <c r="J14" i="24"/>
  <c r="K14" i="24"/>
  <c r="B13" i="24"/>
  <c r="C13" i="24"/>
  <c r="D13" i="24"/>
  <c r="E13" i="24"/>
  <c r="B14" i="24"/>
  <c r="C14" i="24"/>
  <c r="D14" i="24"/>
  <c r="E14" i="24"/>
  <c r="CD48" i="21"/>
  <c r="CD49" i="21"/>
  <c r="B84" i="24" s="1"/>
  <c r="C82" i="24"/>
  <c r="D82" i="24"/>
  <c r="L65" i="24"/>
  <c r="B65" i="24"/>
  <c r="C65" i="24"/>
  <c r="D65" i="24"/>
  <c r="E65" i="24"/>
  <c r="L48" i="24"/>
  <c r="B48" i="24"/>
  <c r="B52" i="24" s="1"/>
  <c r="C48" i="24"/>
  <c r="D48" i="24"/>
  <c r="E48" i="24"/>
  <c r="B29" i="24"/>
  <c r="D29" i="24" s="1"/>
  <c r="C29" i="24"/>
  <c r="I12" i="24"/>
  <c r="J12" i="24"/>
  <c r="K12" i="24"/>
  <c r="B12" i="24"/>
  <c r="C12" i="24"/>
  <c r="D12" i="24"/>
  <c r="E12" i="24"/>
  <c r="CD47" i="21"/>
  <c r="B82" i="24" s="1"/>
  <c r="E82" i="24" s="1"/>
  <c r="L82" i="24" s="1"/>
  <c r="B81" i="24"/>
  <c r="E81" i="24" s="1"/>
  <c r="L81" i="24" s="1"/>
  <c r="C81" i="24"/>
  <c r="D81" i="24"/>
  <c r="L64" i="24"/>
  <c r="B64" i="24"/>
  <c r="C64" i="24"/>
  <c r="D64" i="24"/>
  <c r="E64" i="24"/>
  <c r="J47" i="24"/>
  <c r="L47" i="24"/>
  <c r="B47" i="24"/>
  <c r="C47" i="24"/>
  <c r="D47" i="24"/>
  <c r="E47" i="24"/>
  <c r="B28" i="24"/>
  <c r="D28" i="24" s="1"/>
  <c r="C28" i="24"/>
  <c r="I11" i="24"/>
  <c r="M11" i="24" s="1"/>
  <c r="O11" i="24" s="1"/>
  <c r="I81" i="24" s="1"/>
  <c r="J11" i="24"/>
  <c r="K11" i="24"/>
  <c r="B11" i="24"/>
  <c r="C11" i="24"/>
  <c r="D11" i="24"/>
  <c r="E11" i="24"/>
  <c r="F11" i="24"/>
  <c r="CD46" i="21"/>
  <c r="C80" i="24"/>
  <c r="D80" i="24"/>
  <c r="J63" i="24"/>
  <c r="L63" i="24"/>
  <c r="B63" i="24"/>
  <c r="C63" i="24"/>
  <c r="D63" i="24"/>
  <c r="E63" i="24"/>
  <c r="L46" i="24"/>
  <c r="B46" i="24"/>
  <c r="C46" i="24"/>
  <c r="D46" i="24"/>
  <c r="E46" i="24"/>
  <c r="E45" i="21"/>
  <c r="D45" i="21"/>
  <c r="B27" i="24"/>
  <c r="C27" i="24"/>
  <c r="D27" i="24" s="1"/>
  <c r="AH45" i="21"/>
  <c r="N10" i="24"/>
  <c r="I10" i="24"/>
  <c r="J10" i="24"/>
  <c r="K10" i="24"/>
  <c r="Z45" i="21"/>
  <c r="AB47" i="21" s="1"/>
  <c r="B10" i="24"/>
  <c r="C10" i="24"/>
  <c r="D10" i="24"/>
  <c r="E10" i="24"/>
  <c r="CD45" i="21"/>
  <c r="B80" i="24" s="1"/>
  <c r="E80" i="24" s="1"/>
  <c r="L80" i="24" s="1"/>
  <c r="C79" i="24"/>
  <c r="D79" i="24"/>
  <c r="L62" i="24"/>
  <c r="M62" i="24" s="1"/>
  <c r="B62" i="24"/>
  <c r="C62" i="24"/>
  <c r="D62" i="24"/>
  <c r="E62" i="24"/>
  <c r="L45" i="24"/>
  <c r="B45" i="24"/>
  <c r="C45" i="24"/>
  <c r="D45" i="24"/>
  <c r="E45" i="24"/>
  <c r="B26" i="24"/>
  <c r="C26" i="24"/>
  <c r="D26" i="24" s="1"/>
  <c r="I9" i="24"/>
  <c r="M9" i="24"/>
  <c r="J9" i="24"/>
  <c r="K9" i="24"/>
  <c r="B9" i="24"/>
  <c r="C9" i="24"/>
  <c r="D9" i="24"/>
  <c r="E9" i="24"/>
  <c r="CD44" i="21"/>
  <c r="B79" i="24" s="1"/>
  <c r="E79" i="24" s="1"/>
  <c r="L79" i="24" s="1"/>
  <c r="C78" i="24"/>
  <c r="D78" i="24"/>
  <c r="I61" i="24"/>
  <c r="M61" i="24" s="1"/>
  <c r="L61" i="24"/>
  <c r="B61" i="24"/>
  <c r="C61" i="24"/>
  <c r="D61" i="24"/>
  <c r="E61" i="24"/>
  <c r="L44" i="24"/>
  <c r="B44" i="24"/>
  <c r="C44" i="24"/>
  <c r="D44" i="24"/>
  <c r="E44" i="24"/>
  <c r="B25" i="24"/>
  <c r="C25" i="24"/>
  <c r="I8" i="24"/>
  <c r="M8" i="24"/>
  <c r="J8" i="24"/>
  <c r="K8" i="24"/>
  <c r="B8" i="24"/>
  <c r="C8" i="24"/>
  <c r="D8" i="24"/>
  <c r="E8" i="24"/>
  <c r="CD43" i="21"/>
  <c r="B78" i="24" s="1"/>
  <c r="E78" i="24" s="1"/>
  <c r="L78" i="24" s="1"/>
  <c r="C77" i="24"/>
  <c r="D77" i="24"/>
  <c r="L60" i="24"/>
  <c r="B60" i="24"/>
  <c r="C60" i="24"/>
  <c r="D60" i="24"/>
  <c r="E60" i="24"/>
  <c r="J43" i="24"/>
  <c r="L43" i="24"/>
  <c r="B43" i="24"/>
  <c r="C43" i="24"/>
  <c r="D43" i="24"/>
  <c r="E43" i="24"/>
  <c r="B24" i="24"/>
  <c r="D24" i="24" s="1"/>
  <c r="C24" i="24"/>
  <c r="I7" i="24"/>
  <c r="J7" i="24"/>
  <c r="K7" i="24"/>
  <c r="M7" i="24" s="1"/>
  <c r="O7" i="24" s="1"/>
  <c r="I77" i="24" s="1"/>
  <c r="B7" i="24"/>
  <c r="C7" i="24"/>
  <c r="D7" i="24"/>
  <c r="E7" i="24"/>
  <c r="CD42" i="21"/>
  <c r="B77" i="24" s="1"/>
  <c r="C76" i="24"/>
  <c r="D76" i="24"/>
  <c r="L59" i="24"/>
  <c r="B59" i="24"/>
  <c r="C59" i="24"/>
  <c r="D59" i="24"/>
  <c r="E59" i="24"/>
  <c r="E69" i="24" s="1"/>
  <c r="L42" i="24"/>
  <c r="B42" i="24"/>
  <c r="C42" i="24"/>
  <c r="D42" i="24"/>
  <c r="E42" i="24"/>
  <c r="B23" i="24"/>
  <c r="C23" i="24"/>
  <c r="D23" i="24"/>
  <c r="I6" i="24"/>
  <c r="J6" i="24"/>
  <c r="K6" i="24"/>
  <c r="B6" i="24"/>
  <c r="C6" i="24"/>
  <c r="D6" i="24"/>
  <c r="E6" i="24"/>
  <c r="CD41" i="21"/>
  <c r="B76" i="24" s="1"/>
  <c r="E76" i="24" s="1"/>
  <c r="L76" i="24" s="1"/>
  <c r="C75" i="24"/>
  <c r="D75" i="24"/>
  <c r="D86" i="24" s="1"/>
  <c r="L58" i="24"/>
  <c r="B58" i="24"/>
  <c r="C58" i="24"/>
  <c r="D58" i="24"/>
  <c r="E58" i="24"/>
  <c r="L41" i="24"/>
  <c r="B41" i="24"/>
  <c r="C41" i="24"/>
  <c r="D41" i="24"/>
  <c r="E41" i="24"/>
  <c r="B22" i="24"/>
  <c r="D22" i="24" s="1"/>
  <c r="C22" i="24"/>
  <c r="I5" i="24"/>
  <c r="M5" i="24"/>
  <c r="J5" i="24"/>
  <c r="K5" i="24"/>
  <c r="B5" i="24"/>
  <c r="C5" i="24"/>
  <c r="D5" i="24"/>
  <c r="E5" i="24"/>
  <c r="CD40" i="21"/>
  <c r="B75" i="24" s="1"/>
  <c r="AH39" i="21"/>
  <c r="N4" i="24" s="1"/>
  <c r="B21" i="24"/>
  <c r="CD39" i="21"/>
  <c r="B74" i="24"/>
  <c r="D74" i="24"/>
  <c r="C74" i="24"/>
  <c r="E74" i="24" s="1"/>
  <c r="L57" i="24"/>
  <c r="L69" i="24" s="1"/>
  <c r="E57" i="24"/>
  <c r="D57" i="24"/>
  <c r="D69" i="24" s="1"/>
  <c r="C57" i="24"/>
  <c r="C69" i="24" s="1"/>
  <c r="B57" i="24"/>
  <c r="B69" i="24" s="1"/>
  <c r="L40" i="24"/>
  <c r="L52" i="24"/>
  <c r="E40" i="24"/>
  <c r="D40" i="24"/>
  <c r="D52" i="24"/>
  <c r="C40" i="24"/>
  <c r="C52" i="24" s="1"/>
  <c r="B40" i="24"/>
  <c r="C21" i="24"/>
  <c r="K4" i="24"/>
  <c r="K16" i="24" s="1"/>
  <c r="J4" i="24"/>
  <c r="J16" i="24" s="1"/>
  <c r="I4" i="24"/>
  <c r="I16" i="24" s="1"/>
  <c r="E4" i="24"/>
  <c r="E16" i="24"/>
  <c r="D4" i="24"/>
  <c r="C4" i="24"/>
  <c r="B4" i="24"/>
  <c r="H75" i="24"/>
  <c r="H76" i="24"/>
  <c r="H77" i="24"/>
  <c r="H78" i="24"/>
  <c r="H79" i="24"/>
  <c r="H80" i="24"/>
  <c r="H81" i="24"/>
  <c r="H82" i="24"/>
  <c r="H83" i="24"/>
  <c r="H84" i="24"/>
  <c r="H85" i="24"/>
  <c r="A75" i="24"/>
  <c r="A76" i="24"/>
  <c r="A77" i="24"/>
  <c r="A78" i="24"/>
  <c r="A79" i="24"/>
  <c r="A80" i="24"/>
  <c r="A81" i="24"/>
  <c r="A82" i="24"/>
  <c r="A83" i="24"/>
  <c r="A84" i="24"/>
  <c r="A85" i="24"/>
  <c r="H58" i="24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A58" i="24"/>
  <c r="A59" i="24"/>
  <c r="A60" i="24"/>
  <c r="A61" i="24"/>
  <c r="A62" i="24"/>
  <c r="A63" i="24"/>
  <c r="A64" i="24"/>
  <c r="A65" i="24"/>
  <c r="A66" i="24"/>
  <c r="A67" i="24"/>
  <c r="A68" i="24"/>
  <c r="H41" i="24"/>
  <c r="H42" i="24" s="1"/>
  <c r="H43" i="24" s="1"/>
  <c r="H44" i="24" s="1"/>
  <c r="H45" i="24" s="1"/>
  <c r="H46" i="24" s="1"/>
  <c r="H47" i="24" s="1"/>
  <c r="H48" i="24" s="1"/>
  <c r="H49" i="24"/>
  <c r="H50" i="24" s="1"/>
  <c r="H51" i="24" s="1"/>
  <c r="A41" i="24"/>
  <c r="A42" i="24"/>
  <c r="A43" i="24"/>
  <c r="A44" i="24"/>
  <c r="A45" i="24"/>
  <c r="A46" i="24"/>
  <c r="A47" i="24"/>
  <c r="A48" i="24"/>
  <c r="A49" i="24"/>
  <c r="A50" i="24"/>
  <c r="A51" i="24"/>
  <c r="H22" i="24"/>
  <c r="H23" i="24"/>
  <c r="H24" i="24"/>
  <c r="H25" i="24"/>
  <c r="H26" i="24"/>
  <c r="H27" i="24"/>
  <c r="H28" i="24"/>
  <c r="H29" i="24"/>
  <c r="H30" i="24"/>
  <c r="H31" i="24"/>
  <c r="H32" i="24"/>
  <c r="A22" i="24"/>
  <c r="A23" i="24"/>
  <c r="A24" i="24"/>
  <c r="A25" i="24"/>
  <c r="A26" i="24"/>
  <c r="A27" i="24"/>
  <c r="A28" i="24"/>
  <c r="A29" i="24"/>
  <c r="A30" i="24"/>
  <c r="A31" i="24"/>
  <c r="A32" i="24"/>
  <c r="H5" i="24"/>
  <c r="H6" i="24"/>
  <c r="H7" i="24"/>
  <c r="H8" i="24" s="1"/>
  <c r="H9" i="24" s="1"/>
  <c r="H10" i="24" s="1"/>
  <c r="H11" i="24" s="1"/>
  <c r="H12" i="24" s="1"/>
  <c r="H13" i="24" s="1"/>
  <c r="H14" i="24" s="1"/>
  <c r="H15" i="24" s="1"/>
  <c r="A5" i="24"/>
  <c r="A6" i="24"/>
  <c r="A7" i="24"/>
  <c r="A8" i="24"/>
  <c r="A9" i="24"/>
  <c r="A10" i="24"/>
  <c r="A11" i="24"/>
  <c r="A12" i="24"/>
  <c r="A13" i="24"/>
  <c r="A14" i="24"/>
  <c r="A15" i="24"/>
  <c r="P29" i="22"/>
  <c r="P27" i="22"/>
  <c r="BB27" i="21"/>
  <c r="I40" i="22"/>
  <c r="C22" i="22"/>
  <c r="C23" i="22"/>
  <c r="C24" i="22"/>
  <c r="C25" i="22"/>
  <c r="C26" i="22"/>
  <c r="C27" i="22"/>
  <c r="C28" i="22"/>
  <c r="C29" i="22"/>
  <c r="C30" i="22"/>
  <c r="C31" i="22"/>
  <c r="C32" i="22"/>
  <c r="C21" i="22"/>
  <c r="I7" i="22"/>
  <c r="M7" i="22" s="1"/>
  <c r="J7" i="22"/>
  <c r="K7" i="22"/>
  <c r="L7" i="22"/>
  <c r="I8" i="22"/>
  <c r="J8" i="22"/>
  <c r="K8" i="22"/>
  <c r="L8" i="22"/>
  <c r="I9" i="22"/>
  <c r="J9" i="22"/>
  <c r="K9" i="22"/>
  <c r="L9" i="22"/>
  <c r="I10" i="22"/>
  <c r="M10" i="22" s="1"/>
  <c r="O10" i="22" s="1"/>
  <c r="I80" i="22" s="1"/>
  <c r="J10" i="22"/>
  <c r="K10" i="22"/>
  <c r="L10" i="22"/>
  <c r="I11" i="22"/>
  <c r="M11" i="22" s="1"/>
  <c r="J11" i="22"/>
  <c r="K11" i="22"/>
  <c r="L11" i="22"/>
  <c r="I12" i="22"/>
  <c r="J12" i="22"/>
  <c r="K12" i="22"/>
  <c r="L12" i="22"/>
  <c r="I13" i="22"/>
  <c r="J13" i="22"/>
  <c r="M13" i="22" s="1"/>
  <c r="O13" i="22" s="1"/>
  <c r="I83" i="22" s="1"/>
  <c r="M83" i="22" s="1"/>
  <c r="K13" i="22"/>
  <c r="L13" i="22"/>
  <c r="I14" i="22"/>
  <c r="J14" i="22"/>
  <c r="K14" i="22"/>
  <c r="L14" i="22"/>
  <c r="I15" i="22"/>
  <c r="J15" i="22"/>
  <c r="K15" i="22"/>
  <c r="L15" i="22"/>
  <c r="L4" i="22"/>
  <c r="K4" i="22"/>
  <c r="J4" i="22"/>
  <c r="I4" i="22"/>
  <c r="D30" i="21"/>
  <c r="E30" i="21"/>
  <c r="D31" i="21"/>
  <c r="E31" i="21"/>
  <c r="D32" i="21"/>
  <c r="E32" i="21"/>
  <c r="D33" i="21"/>
  <c r="E33" i="21"/>
  <c r="D34" i="21"/>
  <c r="E34" i="21"/>
  <c r="D35" i="21"/>
  <c r="E35" i="21"/>
  <c r="D36" i="21"/>
  <c r="E36" i="21"/>
  <c r="D37" i="21"/>
  <c r="E37" i="21"/>
  <c r="O23" i="22"/>
  <c r="D38" i="21"/>
  <c r="E38" i="21"/>
  <c r="D39" i="21"/>
  <c r="E39" i="21"/>
  <c r="D40" i="21"/>
  <c r="E40" i="21"/>
  <c r="D41" i="21"/>
  <c r="E41" i="21"/>
  <c r="K23" i="24"/>
  <c r="D42" i="21"/>
  <c r="E42" i="21"/>
  <c r="D43" i="21"/>
  <c r="E43" i="21"/>
  <c r="D44" i="21"/>
  <c r="E44" i="21"/>
  <c r="D46" i="21"/>
  <c r="E46" i="21"/>
  <c r="D47" i="21"/>
  <c r="E47" i="21"/>
  <c r="D48" i="21"/>
  <c r="E48" i="21"/>
  <c r="K30" i="24" s="1"/>
  <c r="D49" i="21"/>
  <c r="E49" i="21"/>
  <c r="D50" i="21"/>
  <c r="E50" i="21"/>
  <c r="AH16" i="21"/>
  <c r="AH17" i="21"/>
  <c r="AH18" i="21"/>
  <c r="AH19" i="21"/>
  <c r="AH20" i="21"/>
  <c r="AH21" i="21"/>
  <c r="AH22" i="21"/>
  <c r="AH23" i="21"/>
  <c r="AH24" i="21"/>
  <c r="AH25" i="21"/>
  <c r="AH26" i="21"/>
  <c r="AH27" i="21"/>
  <c r="N4" i="22"/>
  <c r="AH28" i="21"/>
  <c r="N5" i="22" s="1"/>
  <c r="AH30" i="21"/>
  <c r="N7" i="22" s="1"/>
  <c r="O7" i="22" s="1"/>
  <c r="I77" i="22" s="1"/>
  <c r="AH31" i="21"/>
  <c r="N8" i="22"/>
  <c r="O8" i="22"/>
  <c r="I78" i="22" s="1"/>
  <c r="AH32" i="21"/>
  <c r="N9" i="22"/>
  <c r="AH33" i="21"/>
  <c r="N10" i="22" s="1"/>
  <c r="AH34" i="21"/>
  <c r="N11" i="22"/>
  <c r="AH35" i="21"/>
  <c r="N12" i="22" s="1"/>
  <c r="AH36" i="21"/>
  <c r="N13" i="22"/>
  <c r="AH37" i="21"/>
  <c r="N14" i="22" s="1"/>
  <c r="AH38" i="21"/>
  <c r="N15" i="22"/>
  <c r="AH40" i="21"/>
  <c r="N5" i="24" s="1"/>
  <c r="AH41" i="21"/>
  <c r="N6" i="24"/>
  <c r="AH42" i="21"/>
  <c r="N7" i="24"/>
  <c r="AH43" i="21"/>
  <c r="N8" i="24" s="1"/>
  <c r="AH44" i="21"/>
  <c r="N9" i="24" s="1"/>
  <c r="AH46" i="21"/>
  <c r="N11" i="24" s="1"/>
  <c r="AH47" i="21"/>
  <c r="N12" i="24" s="1"/>
  <c r="AH48" i="21"/>
  <c r="N13" i="24" s="1"/>
  <c r="AH49" i="21"/>
  <c r="N14" i="24" s="1"/>
  <c r="AH50" i="21"/>
  <c r="N15" i="24" s="1"/>
  <c r="AH15" i="21"/>
  <c r="E27" i="21"/>
  <c r="D27" i="21"/>
  <c r="BB39" i="21"/>
  <c r="I40" i="24" s="1"/>
  <c r="D81" i="22"/>
  <c r="E81" i="22"/>
  <c r="L81" i="22"/>
  <c r="D82" i="22"/>
  <c r="D83" i="22"/>
  <c r="D84" i="22"/>
  <c r="D85" i="22"/>
  <c r="C81" i="22"/>
  <c r="C82" i="22"/>
  <c r="C83" i="22"/>
  <c r="C84" i="22"/>
  <c r="C85" i="22"/>
  <c r="B81" i="22"/>
  <c r="B82" i="22"/>
  <c r="E82" i="22" s="1"/>
  <c r="L82" i="22" s="1"/>
  <c r="B83" i="22"/>
  <c r="B84" i="22"/>
  <c r="E84" i="22"/>
  <c r="L84" i="22" s="1"/>
  <c r="B85" i="22"/>
  <c r="L64" i="22"/>
  <c r="L65" i="22"/>
  <c r="L66" i="22"/>
  <c r="L67" i="22"/>
  <c r="L68" i="22"/>
  <c r="E64" i="22"/>
  <c r="E65" i="22"/>
  <c r="E66" i="22"/>
  <c r="E67" i="22"/>
  <c r="E68" i="22"/>
  <c r="D64" i="22"/>
  <c r="D65" i="22"/>
  <c r="D66" i="22"/>
  <c r="D67" i="22"/>
  <c r="D68" i="22"/>
  <c r="C64" i="22"/>
  <c r="C65" i="22"/>
  <c r="C66" i="22"/>
  <c r="C67" i="22"/>
  <c r="C68" i="22"/>
  <c r="B64" i="22"/>
  <c r="B65" i="22"/>
  <c r="B66" i="22"/>
  <c r="B67" i="22"/>
  <c r="B68" i="22"/>
  <c r="L47" i="22"/>
  <c r="B28" i="22" s="1"/>
  <c r="D28" i="22" s="1"/>
  <c r="I28" i="22" s="1"/>
  <c r="L48" i="22"/>
  <c r="L49" i="22"/>
  <c r="B30" i="22" s="1"/>
  <c r="D30" i="22" s="1"/>
  <c r="I30" i="22" s="1"/>
  <c r="L50" i="22"/>
  <c r="B31" i="22" s="1"/>
  <c r="D31" i="22" s="1"/>
  <c r="I31" i="22" s="1"/>
  <c r="L51" i="22"/>
  <c r="E47" i="22"/>
  <c r="E48" i="22"/>
  <c r="E49" i="22"/>
  <c r="E50" i="22"/>
  <c r="E51" i="22"/>
  <c r="D47" i="22"/>
  <c r="D48" i="22"/>
  <c r="D49" i="22"/>
  <c r="D50" i="22"/>
  <c r="D51" i="22"/>
  <c r="C47" i="22"/>
  <c r="C48" i="22"/>
  <c r="C52" i="22" s="1"/>
  <c r="C49" i="22"/>
  <c r="C50" i="22"/>
  <c r="C51" i="22"/>
  <c r="B47" i="22"/>
  <c r="B48" i="22"/>
  <c r="B49" i="22"/>
  <c r="B50" i="22"/>
  <c r="B51" i="22"/>
  <c r="E11" i="22"/>
  <c r="E12" i="22"/>
  <c r="E13" i="22"/>
  <c r="E14" i="22"/>
  <c r="E15" i="22"/>
  <c r="D11" i="22"/>
  <c r="D12" i="22"/>
  <c r="D13" i="22"/>
  <c r="D14" i="22"/>
  <c r="D15" i="22"/>
  <c r="C11" i="22"/>
  <c r="C12" i="22"/>
  <c r="C13" i="22"/>
  <c r="C14" i="22"/>
  <c r="C15" i="22"/>
  <c r="B11" i="22"/>
  <c r="B12" i="22"/>
  <c r="B13" i="22"/>
  <c r="B14" i="22"/>
  <c r="B15" i="22"/>
  <c r="BU50" i="21"/>
  <c r="F68" i="24" s="1"/>
  <c r="BS50" i="21"/>
  <c r="J68" i="24" s="1"/>
  <c r="BR50" i="21"/>
  <c r="I68" i="24" s="1"/>
  <c r="AV50" i="21"/>
  <c r="F51" i="24" s="1"/>
  <c r="BC50" i="21"/>
  <c r="J51" i="24" s="1"/>
  <c r="BB50" i="21"/>
  <c r="I51" i="24" s="1"/>
  <c r="M51" i="24" s="1"/>
  <c r="AP50" i="21"/>
  <c r="AO50" i="21"/>
  <c r="AN50" i="21"/>
  <c r="AM50" i="21"/>
  <c r="Z50" i="21"/>
  <c r="F15" i="24" s="1"/>
  <c r="BU49" i="21"/>
  <c r="F67" i="24" s="1"/>
  <c r="BS49" i="21"/>
  <c r="J67" i="24" s="1"/>
  <c r="BR49" i="21"/>
  <c r="AV49" i="21"/>
  <c r="F50" i="24" s="1"/>
  <c r="BC49" i="21"/>
  <c r="J50" i="24" s="1"/>
  <c r="BB49" i="21"/>
  <c r="AP49" i="21"/>
  <c r="AO49" i="21"/>
  <c r="AN49" i="21"/>
  <c r="AM49" i="21"/>
  <c r="Z49" i="21"/>
  <c r="F14" i="24" s="1"/>
  <c r="BU48" i="21"/>
  <c r="F66" i="24" s="1"/>
  <c r="BS48" i="21"/>
  <c r="J66" i="24" s="1"/>
  <c r="BR48" i="21"/>
  <c r="I66" i="24" s="1"/>
  <c r="AV48" i="21"/>
  <c r="F49" i="24" s="1"/>
  <c r="BC48" i="21"/>
  <c r="J49" i="24" s="1"/>
  <c r="BD48" i="21"/>
  <c r="K49" i="24" s="1"/>
  <c r="J83" i="24" s="1"/>
  <c r="BB48" i="21"/>
  <c r="I49" i="24" s="1"/>
  <c r="M49" i="24" s="1"/>
  <c r="AP48" i="21"/>
  <c r="AO48" i="21"/>
  <c r="AN48" i="21"/>
  <c r="AM48" i="21"/>
  <c r="Z48" i="21"/>
  <c r="BU47" i="21"/>
  <c r="F65" i="24" s="1"/>
  <c r="BS47" i="21"/>
  <c r="J65" i="24" s="1"/>
  <c r="BR47" i="21"/>
  <c r="BT47" i="21" s="1"/>
  <c r="K65" i="24" s="1"/>
  <c r="K82" i="24" s="1"/>
  <c r="AV47" i="21"/>
  <c r="F48" i="24" s="1"/>
  <c r="BC47" i="21"/>
  <c r="J48" i="24" s="1"/>
  <c r="BB47" i="21"/>
  <c r="I48" i="24"/>
  <c r="M48" i="24" s="1"/>
  <c r="AP47" i="21"/>
  <c r="AO47" i="21"/>
  <c r="AN47" i="21"/>
  <c r="AM47" i="21"/>
  <c r="Z47" i="21"/>
  <c r="F12" i="24" s="1"/>
  <c r="BU46" i="21"/>
  <c r="F64" i="24" s="1"/>
  <c r="BS46" i="21"/>
  <c r="J64" i="24" s="1"/>
  <c r="BR46" i="21"/>
  <c r="I64" i="24" s="1"/>
  <c r="AV46" i="21"/>
  <c r="F47" i="24" s="1"/>
  <c r="BC46" i="21"/>
  <c r="BB46" i="21"/>
  <c r="I47" i="24"/>
  <c r="M47" i="24" s="1"/>
  <c r="AP46" i="21"/>
  <c r="AO46" i="21"/>
  <c r="AN46" i="21"/>
  <c r="AM46" i="21"/>
  <c r="Z46" i="21"/>
  <c r="AB48" i="21" s="1"/>
  <c r="BU45" i="21"/>
  <c r="F63" i="24" s="1"/>
  <c r="BS45" i="21"/>
  <c r="BR45" i="21"/>
  <c r="I63" i="24" s="1"/>
  <c r="M63" i="24" s="1"/>
  <c r="AV45" i="21"/>
  <c r="F46" i="24" s="1"/>
  <c r="BC45" i="21"/>
  <c r="J46" i="24" s="1"/>
  <c r="BB45" i="21"/>
  <c r="I46" i="24" s="1"/>
  <c r="M46" i="24" s="1"/>
  <c r="AP45" i="21"/>
  <c r="AO45" i="21"/>
  <c r="AN45" i="21"/>
  <c r="AM45" i="21"/>
  <c r="A45" i="2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BU44" i="21"/>
  <c r="F62" i="24" s="1"/>
  <c r="BS44" i="21"/>
  <c r="J62" i="24" s="1"/>
  <c r="BR44" i="21"/>
  <c r="I62" i="24" s="1"/>
  <c r="AV44" i="21"/>
  <c r="F45" i="24" s="1"/>
  <c r="BC44" i="21"/>
  <c r="BB44" i="21"/>
  <c r="BD44" i="21" s="1"/>
  <c r="K45" i="24" s="1"/>
  <c r="J79" i="24" s="1"/>
  <c r="I45" i="24"/>
  <c r="M45" i="24"/>
  <c r="AP44" i="21"/>
  <c r="AO44" i="21"/>
  <c r="AN44" i="21"/>
  <c r="AM44" i="21"/>
  <c r="Z44" i="21"/>
  <c r="AB46" i="21" s="1"/>
  <c r="BU43" i="21"/>
  <c r="F61" i="24" s="1"/>
  <c r="BS43" i="21"/>
  <c r="J61" i="24" s="1"/>
  <c r="BR43" i="21"/>
  <c r="BT43" i="21" s="1"/>
  <c r="K61" i="24" s="1"/>
  <c r="K78" i="24" s="1"/>
  <c r="AV43" i="21"/>
  <c r="F44" i="24" s="1"/>
  <c r="BC43" i="21"/>
  <c r="J44" i="24" s="1"/>
  <c r="BB43" i="21"/>
  <c r="AP43" i="21"/>
  <c r="AO43" i="21"/>
  <c r="AN43" i="21"/>
  <c r="AM43" i="21"/>
  <c r="Z43" i="21"/>
  <c r="AB45" i="21" s="1"/>
  <c r="F8" i="24"/>
  <c r="BU42" i="21"/>
  <c r="F60" i="24" s="1"/>
  <c r="BS42" i="21"/>
  <c r="J60" i="24" s="1"/>
  <c r="BR42" i="21"/>
  <c r="AV42" i="21"/>
  <c r="F43" i="24" s="1"/>
  <c r="BC42" i="21"/>
  <c r="BB42" i="21"/>
  <c r="BD42" i="21" s="1"/>
  <c r="K43" i="24" s="1"/>
  <c r="J77" i="24" s="1"/>
  <c r="I43" i="24"/>
  <c r="AP42" i="21"/>
  <c r="AO42" i="21"/>
  <c r="AN42" i="21"/>
  <c r="AM42" i="21"/>
  <c r="Z42" i="21"/>
  <c r="AB44" i="21" s="1"/>
  <c r="BU41" i="21"/>
  <c r="F59" i="24" s="1"/>
  <c r="BS41" i="21"/>
  <c r="BR41" i="21"/>
  <c r="I59" i="24" s="1"/>
  <c r="AV41" i="21"/>
  <c r="F42" i="24"/>
  <c r="BC41" i="21"/>
  <c r="J42" i="24"/>
  <c r="BB41" i="21"/>
  <c r="I42" i="24"/>
  <c r="M42" i="24"/>
  <c r="AP41" i="21"/>
  <c r="AO41" i="21"/>
  <c r="AN41" i="21"/>
  <c r="AM41" i="21"/>
  <c r="Z41" i="21"/>
  <c r="F6" i="24" s="1"/>
  <c r="BU40" i="21"/>
  <c r="F58" i="24" s="1"/>
  <c r="BS40" i="21"/>
  <c r="BR40" i="21"/>
  <c r="I58" i="24" s="1"/>
  <c r="M58" i="24" s="1"/>
  <c r="AV40" i="21"/>
  <c r="F41" i="24" s="1"/>
  <c r="BC40" i="21"/>
  <c r="J41" i="24" s="1"/>
  <c r="BB40" i="21"/>
  <c r="I41" i="24" s="1"/>
  <c r="BD40" i="21"/>
  <c r="K41" i="24" s="1"/>
  <c r="AP40" i="21"/>
  <c r="AO40" i="21"/>
  <c r="AN40" i="21"/>
  <c r="AM40" i="21"/>
  <c r="Z40" i="21"/>
  <c r="F5" i="24" s="1"/>
  <c r="BU39" i="21"/>
  <c r="F57" i="24"/>
  <c r="BS39" i="21"/>
  <c r="BT39" i="21"/>
  <c r="K57" i="24" s="1"/>
  <c r="BR39" i="21"/>
  <c r="I57" i="24"/>
  <c r="AV39" i="21"/>
  <c r="F40" i="24" s="1"/>
  <c r="BC39" i="21"/>
  <c r="J40" i="24" s="1"/>
  <c r="J52" i="24" s="1"/>
  <c r="AP39" i="21"/>
  <c r="AO39" i="21"/>
  <c r="AN39" i="21"/>
  <c r="AM39" i="21"/>
  <c r="Z39" i="21"/>
  <c r="F4" i="24" s="1"/>
  <c r="CD33" i="21"/>
  <c r="B80" i="22"/>
  <c r="D80" i="22"/>
  <c r="C80" i="22"/>
  <c r="L63" i="22"/>
  <c r="E63" i="22"/>
  <c r="D63" i="22"/>
  <c r="C63" i="22"/>
  <c r="B63" i="22"/>
  <c r="L46" i="22"/>
  <c r="B27" i="22" s="1"/>
  <c r="D27" i="22" s="1"/>
  <c r="I27" i="22" s="1"/>
  <c r="E46" i="22"/>
  <c r="D46" i="22"/>
  <c r="C46" i="22"/>
  <c r="B46" i="22"/>
  <c r="E10" i="22"/>
  <c r="D10" i="22"/>
  <c r="C10" i="22"/>
  <c r="B10" i="22"/>
  <c r="C79" i="22"/>
  <c r="D79" i="22"/>
  <c r="L62" i="22"/>
  <c r="B62" i="22"/>
  <c r="C62" i="22"/>
  <c r="D62" i="22"/>
  <c r="E62" i="22"/>
  <c r="L45" i="22"/>
  <c r="B45" i="22"/>
  <c r="C45" i="22"/>
  <c r="D45" i="22"/>
  <c r="E45" i="22"/>
  <c r="B9" i="22"/>
  <c r="C9" i="22"/>
  <c r="D9" i="22"/>
  <c r="E9" i="22"/>
  <c r="CD32" i="21"/>
  <c r="B79" i="22" s="1"/>
  <c r="E79" i="22" s="1"/>
  <c r="L79" i="22" s="1"/>
  <c r="C78" i="22"/>
  <c r="D78" i="22"/>
  <c r="B61" i="22"/>
  <c r="C61" i="22"/>
  <c r="D61" i="22"/>
  <c r="E61" i="22"/>
  <c r="L61" i="22"/>
  <c r="B44" i="22"/>
  <c r="C44" i="22"/>
  <c r="D44" i="22"/>
  <c r="E44" i="22"/>
  <c r="L44" i="22"/>
  <c r="B25" i="22" s="1"/>
  <c r="D25" i="22" s="1"/>
  <c r="I25" i="22" s="1"/>
  <c r="B8" i="22"/>
  <c r="C8" i="22"/>
  <c r="D8" i="22"/>
  <c r="E8" i="22"/>
  <c r="BB32" i="21"/>
  <c r="I45" i="22"/>
  <c r="CD31" i="21"/>
  <c r="B78" i="22" s="1"/>
  <c r="E78" i="22" s="1"/>
  <c r="L78" i="22" s="1"/>
  <c r="B86" i="22"/>
  <c r="D77" i="22"/>
  <c r="C77" i="22"/>
  <c r="L60" i="22"/>
  <c r="E60" i="22"/>
  <c r="D60" i="22"/>
  <c r="C60" i="22"/>
  <c r="B60" i="22"/>
  <c r="L43" i="22"/>
  <c r="E43" i="22"/>
  <c r="D43" i="22"/>
  <c r="C43" i="22"/>
  <c r="B43" i="22"/>
  <c r="CD30" i="21"/>
  <c r="B77" i="22" s="1"/>
  <c r="E77" i="22"/>
  <c r="L77" i="22" s="1"/>
  <c r="CD29" i="21"/>
  <c r="B76" i="22" s="1"/>
  <c r="CD28" i="21"/>
  <c r="B75" i="22" s="1"/>
  <c r="CD27" i="21"/>
  <c r="B74" i="22" s="1"/>
  <c r="V29" i="21"/>
  <c r="Z29" i="21" s="1"/>
  <c r="AB31" i="21" s="1"/>
  <c r="V28" i="21"/>
  <c r="AC28" i="21" s="1"/>
  <c r="D28" i="21"/>
  <c r="E7" i="22"/>
  <c r="D7" i="22"/>
  <c r="C7" i="22"/>
  <c r="B7" i="22"/>
  <c r="B20" i="21"/>
  <c r="H22" i="22"/>
  <c r="H23" i="22"/>
  <c r="H24" i="22"/>
  <c r="H25" i="22"/>
  <c r="H26" i="22"/>
  <c r="H27" i="22"/>
  <c r="H28" i="22"/>
  <c r="H29" i="22"/>
  <c r="H30" i="22"/>
  <c r="H31" i="22"/>
  <c r="H32" i="22"/>
  <c r="BY14" i="21"/>
  <c r="BX14" i="21"/>
  <c r="BW14" i="21"/>
  <c r="BV14" i="21"/>
  <c r="BY13" i="21"/>
  <c r="BX13" i="21"/>
  <c r="BW13" i="21"/>
  <c r="BV13" i="21"/>
  <c r="BY12" i="21"/>
  <c r="BX12" i="21"/>
  <c r="BW12" i="21"/>
  <c r="BV12" i="21"/>
  <c r="BY11" i="21"/>
  <c r="BX11" i="21"/>
  <c r="BW11" i="21"/>
  <c r="BV11" i="21"/>
  <c r="BR11" i="21" s="1"/>
  <c r="BY10" i="21"/>
  <c r="BX10" i="21"/>
  <c r="BW10" i="21"/>
  <c r="BV10" i="21"/>
  <c r="BR10" i="21" s="1"/>
  <c r="BT10" i="21" s="1"/>
  <c r="BY9" i="21"/>
  <c r="BX9" i="21"/>
  <c r="BR9" i="21" s="1"/>
  <c r="BW9" i="21"/>
  <c r="BV9" i="21"/>
  <c r="BY8" i="21"/>
  <c r="BX8" i="21"/>
  <c r="BW8" i="21"/>
  <c r="BR8" i="21"/>
  <c r="BV8" i="21"/>
  <c r="BY7" i="21"/>
  <c r="BX7" i="21"/>
  <c r="BW7" i="21"/>
  <c r="BV7" i="21"/>
  <c r="BY6" i="21"/>
  <c r="BX6" i="21"/>
  <c r="BW6" i="21"/>
  <c r="BV6" i="21"/>
  <c r="BR6" i="21" s="1"/>
  <c r="BY5" i="21"/>
  <c r="BX5" i="21"/>
  <c r="BW5" i="21"/>
  <c r="BV5" i="21"/>
  <c r="BY4" i="21"/>
  <c r="BX4" i="21"/>
  <c r="BR4" i="21" s="1"/>
  <c r="BT4" i="21" s="1"/>
  <c r="BW4" i="21"/>
  <c r="BV4" i="21"/>
  <c r="BY3" i="21"/>
  <c r="BX3" i="21"/>
  <c r="BW3" i="21"/>
  <c r="BV3" i="21"/>
  <c r="B26" i="21"/>
  <c r="B25" i="21"/>
  <c r="B24" i="21"/>
  <c r="B23" i="21"/>
  <c r="B22" i="21"/>
  <c r="B21" i="21"/>
  <c r="B19" i="21"/>
  <c r="B18" i="21"/>
  <c r="B17" i="21"/>
  <c r="B16" i="21"/>
  <c r="E59" i="22"/>
  <c r="D59" i="22"/>
  <c r="C59" i="22"/>
  <c r="B59" i="22"/>
  <c r="E58" i="22"/>
  <c r="D58" i="22"/>
  <c r="C58" i="22"/>
  <c r="B58" i="22"/>
  <c r="E57" i="22"/>
  <c r="E69" i="22"/>
  <c r="D57" i="22"/>
  <c r="D69" i="22" s="1"/>
  <c r="C57" i="22"/>
  <c r="B57" i="22"/>
  <c r="BS38" i="21"/>
  <c r="J68" i="22"/>
  <c r="BR38" i="21"/>
  <c r="I68" i="22" s="1"/>
  <c r="M68" i="22"/>
  <c r="BS37" i="21"/>
  <c r="J67" i="22"/>
  <c r="BR37" i="21"/>
  <c r="I67" i="22"/>
  <c r="M67" i="22" s="1"/>
  <c r="BS36" i="21"/>
  <c r="J66" i="22" s="1"/>
  <c r="BR36" i="21"/>
  <c r="I66" i="22"/>
  <c r="BS35" i="21"/>
  <c r="J65" i="22" s="1"/>
  <c r="BR35" i="21"/>
  <c r="I65" i="22" s="1"/>
  <c r="BS34" i="21"/>
  <c r="J64" i="22" s="1"/>
  <c r="BR34" i="21"/>
  <c r="BT34" i="21" s="1"/>
  <c r="K64" i="22" s="1"/>
  <c r="BS33" i="21"/>
  <c r="J63" i="22"/>
  <c r="BR33" i="21"/>
  <c r="BS32" i="21"/>
  <c r="J62" i="22" s="1"/>
  <c r="BR32" i="21"/>
  <c r="I62" i="22" s="1"/>
  <c r="M62" i="22" s="1"/>
  <c r="BS31" i="21"/>
  <c r="J61" i="22"/>
  <c r="BR31" i="21"/>
  <c r="BS30" i="21"/>
  <c r="J60" i="22" s="1"/>
  <c r="BR30" i="21"/>
  <c r="BT30" i="21" s="1"/>
  <c r="K60" i="22" s="1"/>
  <c r="K77" i="22"/>
  <c r="H75" i="22"/>
  <c r="H76" i="22"/>
  <c r="H77" i="22"/>
  <c r="H78" i="22"/>
  <c r="H79" i="22"/>
  <c r="H80" i="22"/>
  <c r="H81" i="22"/>
  <c r="H82" i="22"/>
  <c r="H83" i="22"/>
  <c r="H84" i="22"/>
  <c r="H85" i="22"/>
  <c r="L59" i="22"/>
  <c r="L58" i="22"/>
  <c r="BS26" i="21"/>
  <c r="BS25" i="21"/>
  <c r="BS24" i="21"/>
  <c r="BS23" i="21"/>
  <c r="BS22" i="21"/>
  <c r="BS21" i="21"/>
  <c r="BS20" i="21"/>
  <c r="BS19" i="21"/>
  <c r="BS18" i="21"/>
  <c r="BS17" i="21"/>
  <c r="BS16" i="21"/>
  <c r="BS15" i="21"/>
  <c r="BS14" i="21"/>
  <c r="BS13" i="21"/>
  <c r="BS12" i="21"/>
  <c r="BS11" i="21"/>
  <c r="BS10" i="21"/>
  <c r="BS9" i="21"/>
  <c r="BS8" i="21"/>
  <c r="BS7" i="21"/>
  <c r="BS6" i="21"/>
  <c r="BS5" i="21"/>
  <c r="BS4" i="21"/>
  <c r="BS3" i="21"/>
  <c r="BS29" i="21"/>
  <c r="J59" i="22"/>
  <c r="J69" i="22" s="1"/>
  <c r="BR29" i="21"/>
  <c r="I59" i="22" s="1"/>
  <c r="M59" i="22" s="1"/>
  <c r="BS28" i="21"/>
  <c r="J58" i="22" s="1"/>
  <c r="BR28" i="21"/>
  <c r="I58" i="22"/>
  <c r="BS27" i="21"/>
  <c r="J57" i="22"/>
  <c r="BR27" i="21"/>
  <c r="L57" i="22"/>
  <c r="L69" i="22" s="1"/>
  <c r="H58" i="22"/>
  <c r="H59" i="22"/>
  <c r="H60" i="22" s="1"/>
  <c r="H61" i="22" s="1"/>
  <c r="H62" i="22"/>
  <c r="H63" i="22"/>
  <c r="H64" i="22" s="1"/>
  <c r="H65" i="22" s="1"/>
  <c r="H66" i="22" s="1"/>
  <c r="H67" i="22" s="1"/>
  <c r="H68" i="22" s="1"/>
  <c r="D76" i="22"/>
  <c r="D86" i="22" s="1"/>
  <c r="C76" i="22"/>
  <c r="E76" i="22"/>
  <c r="L76" i="22" s="1"/>
  <c r="D75" i="22"/>
  <c r="C75" i="22"/>
  <c r="E75" i="22"/>
  <c r="D74" i="22"/>
  <c r="C74" i="22"/>
  <c r="C86" i="22" s="1"/>
  <c r="A75" i="22"/>
  <c r="A76" i="22"/>
  <c r="A77" i="22"/>
  <c r="A78" i="22"/>
  <c r="A79" i="22"/>
  <c r="A80" i="22"/>
  <c r="A81" i="22"/>
  <c r="A82" i="22"/>
  <c r="A83" i="22"/>
  <c r="A84" i="22"/>
  <c r="A85" i="22"/>
  <c r="A58" i="22"/>
  <c r="A59" i="22"/>
  <c r="A60" i="22"/>
  <c r="A61" i="22"/>
  <c r="A62" i="22"/>
  <c r="A63" i="22"/>
  <c r="A64" i="22"/>
  <c r="A65" i="22"/>
  <c r="A66" i="22"/>
  <c r="A67" i="22"/>
  <c r="A68" i="22"/>
  <c r="L42" i="22"/>
  <c r="B23" i="22" s="1"/>
  <c r="D23" i="22" s="1"/>
  <c r="I23" i="22" s="1"/>
  <c r="L41" i="22"/>
  <c r="L40" i="22"/>
  <c r="M40" i="22" s="1"/>
  <c r="BC26" i="21"/>
  <c r="BB26" i="21"/>
  <c r="BD26" i="21" s="1"/>
  <c r="BC25" i="21"/>
  <c r="BB25" i="21"/>
  <c r="BD25" i="21" s="1"/>
  <c r="BC24" i="21"/>
  <c r="BB24" i="21"/>
  <c r="BD24" i="21" s="1"/>
  <c r="BC23" i="21"/>
  <c r="BD23" i="21" s="1"/>
  <c r="BB23" i="21"/>
  <c r="BC22" i="21"/>
  <c r="BB22" i="21"/>
  <c r="BD22" i="21"/>
  <c r="BC21" i="21"/>
  <c r="BB21" i="21"/>
  <c r="BD21" i="21" s="1"/>
  <c r="BC20" i="21"/>
  <c r="BB20" i="21"/>
  <c r="BD20" i="21" s="1"/>
  <c r="BC19" i="21"/>
  <c r="BB19" i="21"/>
  <c r="BD19" i="21" s="1"/>
  <c r="BC18" i="21"/>
  <c r="BB18" i="21"/>
  <c r="BD18" i="21"/>
  <c r="BC17" i="21"/>
  <c r="BB17" i="21"/>
  <c r="BC16" i="21"/>
  <c r="BB16" i="21"/>
  <c r="BD16" i="21"/>
  <c r="BC15" i="21"/>
  <c r="BB15" i="21"/>
  <c r="BC14" i="21"/>
  <c r="BB14" i="21"/>
  <c r="BD14" i="21" s="1"/>
  <c r="BC13" i="21"/>
  <c r="BB13" i="21"/>
  <c r="BC12" i="21"/>
  <c r="BD12" i="21" s="1"/>
  <c r="BB12" i="21"/>
  <c r="BC11" i="21"/>
  <c r="BB11" i="21"/>
  <c r="BC10" i="21"/>
  <c r="BD10" i="21" s="1"/>
  <c r="BB10" i="21"/>
  <c r="BC9" i="21"/>
  <c r="BB9" i="21"/>
  <c r="BD9" i="21" s="1"/>
  <c r="BC8" i="21"/>
  <c r="BB8" i="21"/>
  <c r="BD8" i="21" s="1"/>
  <c r="BC7" i="21"/>
  <c r="BB7" i="21"/>
  <c r="BC6" i="21"/>
  <c r="BB6" i="21"/>
  <c r="BD6" i="21" s="1"/>
  <c r="BC5" i="21"/>
  <c r="BB5" i="21"/>
  <c r="BD5" i="21" s="1"/>
  <c r="BC4" i="21"/>
  <c r="BB4" i="21"/>
  <c r="BD4" i="21" s="1"/>
  <c r="BC3" i="21"/>
  <c r="BD3" i="21" s="1"/>
  <c r="BB3" i="21"/>
  <c r="BC38" i="21"/>
  <c r="J51" i="22" s="1"/>
  <c r="BB38" i="21"/>
  <c r="BC37" i="21"/>
  <c r="J50" i="22"/>
  <c r="BB37" i="21"/>
  <c r="I50" i="22"/>
  <c r="M50" i="22"/>
  <c r="BC36" i="21"/>
  <c r="BB36" i="21"/>
  <c r="BD36" i="21" s="1"/>
  <c r="K49" i="22" s="1"/>
  <c r="J83" i="22" s="1"/>
  <c r="I49" i="22"/>
  <c r="M49" i="22"/>
  <c r="BC35" i="21"/>
  <c r="BB35" i="21"/>
  <c r="I48" i="22" s="1"/>
  <c r="BC34" i="21"/>
  <c r="BB34" i="21"/>
  <c r="I47" i="22" s="1"/>
  <c r="BD34" i="21"/>
  <c r="K47" i="22"/>
  <c r="J81" i="22" s="1"/>
  <c r="BC33" i="21"/>
  <c r="J46" i="22"/>
  <c r="BB33" i="21"/>
  <c r="I46" i="22"/>
  <c r="M46" i="22"/>
  <c r="BC32" i="21"/>
  <c r="BD32" i="21" s="1"/>
  <c r="K45" i="22" s="1"/>
  <c r="BC31" i="21"/>
  <c r="BB31" i="21"/>
  <c r="BD31" i="21" s="1"/>
  <c r="K44" i="22" s="1"/>
  <c r="J78" i="22" s="1"/>
  <c r="I44" i="22"/>
  <c r="M44" i="22"/>
  <c r="BC30" i="21"/>
  <c r="J43" i="22" s="1"/>
  <c r="BB30" i="21"/>
  <c r="I43" i="22"/>
  <c r="BC29" i="21"/>
  <c r="J42" i="22"/>
  <c r="BB29" i="21"/>
  <c r="BD29" i="21" s="1"/>
  <c r="K42" i="22" s="1"/>
  <c r="BC28" i="21"/>
  <c r="J41" i="22" s="1"/>
  <c r="BB28" i="21"/>
  <c r="I41" i="22"/>
  <c r="BC27" i="21"/>
  <c r="J40" i="22"/>
  <c r="E42" i="22"/>
  <c r="D42" i="22"/>
  <c r="C42" i="22"/>
  <c r="B42" i="22"/>
  <c r="E41" i="22"/>
  <c r="D41" i="22"/>
  <c r="C41" i="22"/>
  <c r="B41" i="22"/>
  <c r="B52" i="22" s="1"/>
  <c r="E40" i="22"/>
  <c r="D40" i="22"/>
  <c r="C40" i="22"/>
  <c r="B40" i="22"/>
  <c r="H41" i="22"/>
  <c r="H42" i="22"/>
  <c r="H43" i="22"/>
  <c r="H44" i="22" s="1"/>
  <c r="H45" i="22" s="1"/>
  <c r="H46" i="22" s="1"/>
  <c r="H47" i="22" s="1"/>
  <c r="H48" i="22" s="1"/>
  <c r="H49" i="22" s="1"/>
  <c r="H50" i="22" s="1"/>
  <c r="H51" i="22" s="1"/>
  <c r="A41" i="22"/>
  <c r="A42" i="22"/>
  <c r="A43" i="22"/>
  <c r="A44" i="22"/>
  <c r="A45" i="22"/>
  <c r="A46" i="22"/>
  <c r="A47" i="22"/>
  <c r="A48" i="22"/>
  <c r="A49" i="22"/>
  <c r="A50" i="22"/>
  <c r="A51" i="22"/>
  <c r="B15" i="21"/>
  <c r="A22" i="22"/>
  <c r="A23" i="22"/>
  <c r="A24" i="22"/>
  <c r="A25" i="22"/>
  <c r="A26" i="22"/>
  <c r="A27" i="22"/>
  <c r="A28" i="22"/>
  <c r="A29" i="22"/>
  <c r="A30" i="22"/>
  <c r="A31" i="22"/>
  <c r="A32" i="22"/>
  <c r="H5" i="22"/>
  <c r="H6" i="22" s="1"/>
  <c r="H7" i="22" s="1"/>
  <c r="H8" i="22" s="1"/>
  <c r="H9" i="22" s="1"/>
  <c r="H10" i="22" s="1"/>
  <c r="H11" i="22" s="1"/>
  <c r="H12" i="22"/>
  <c r="H13" i="22"/>
  <c r="H14" i="22" s="1"/>
  <c r="H15" i="22" s="1"/>
  <c r="E6" i="22"/>
  <c r="D6" i="22"/>
  <c r="C6" i="22"/>
  <c r="B6" i="22"/>
  <c r="E5" i="22"/>
  <c r="E16" i="22"/>
  <c r="D5" i="22"/>
  <c r="C5" i="22"/>
  <c r="E4" i="22"/>
  <c r="D4" i="22"/>
  <c r="D16" i="22" s="1"/>
  <c r="C4" i="22"/>
  <c r="C16" i="22" s="1"/>
  <c r="B4" i="22"/>
  <c r="B16" i="22" s="1"/>
  <c r="A5" i="22"/>
  <c r="A6" i="22"/>
  <c r="A7" i="22"/>
  <c r="A8" i="22"/>
  <c r="A9" i="22"/>
  <c r="A10" i="22"/>
  <c r="A11" i="22"/>
  <c r="A12" i="22"/>
  <c r="A13" i="22"/>
  <c r="A14" i="22"/>
  <c r="A15" i="22"/>
  <c r="AP26" i="21"/>
  <c r="AO26" i="21"/>
  <c r="AN26" i="21"/>
  <c r="AM26" i="21"/>
  <c r="AP25" i="21"/>
  <c r="AO25" i="21"/>
  <c r="AN25" i="21"/>
  <c r="AM25" i="21"/>
  <c r="AP24" i="21"/>
  <c r="AO24" i="21"/>
  <c r="AN24" i="21"/>
  <c r="AM24" i="21"/>
  <c r="AP23" i="21"/>
  <c r="AO23" i="21"/>
  <c r="AN23" i="21"/>
  <c r="AM23" i="21"/>
  <c r="AP22" i="21"/>
  <c r="AO22" i="21"/>
  <c r="AN22" i="21"/>
  <c r="AM22" i="21"/>
  <c r="AP21" i="21"/>
  <c r="AO21" i="21"/>
  <c r="AN21" i="21"/>
  <c r="AM21" i="21"/>
  <c r="AP20" i="21"/>
  <c r="AO20" i="21"/>
  <c r="AN20" i="21"/>
  <c r="AM20" i="21"/>
  <c r="AP19" i="21"/>
  <c r="AO19" i="21"/>
  <c r="AN19" i="21"/>
  <c r="AM19" i="21"/>
  <c r="AP18" i="21"/>
  <c r="AO18" i="21"/>
  <c r="AN18" i="21"/>
  <c r="AM18" i="21"/>
  <c r="AP17" i="21"/>
  <c r="AO17" i="21"/>
  <c r="AN17" i="21"/>
  <c r="AM17" i="21"/>
  <c r="AP16" i="21"/>
  <c r="AO16" i="21"/>
  <c r="AN16" i="21"/>
  <c r="AM16" i="21"/>
  <c r="AP15" i="21"/>
  <c r="AO15" i="21"/>
  <c r="AN15" i="21"/>
  <c r="AM15" i="21"/>
  <c r="AP14" i="21"/>
  <c r="AO14" i="21"/>
  <c r="AN14" i="21"/>
  <c r="AM14" i="21"/>
  <c r="AP13" i="21"/>
  <c r="AO13" i="21"/>
  <c r="AN13" i="21"/>
  <c r="AM13" i="21"/>
  <c r="AP12" i="21"/>
  <c r="AO12" i="21"/>
  <c r="AN12" i="21"/>
  <c r="AM12" i="21"/>
  <c r="AP11" i="21"/>
  <c r="AO11" i="21"/>
  <c r="AN11" i="21"/>
  <c r="AM11" i="21"/>
  <c r="AP10" i="21"/>
  <c r="AO10" i="21"/>
  <c r="AN10" i="21"/>
  <c r="AM10" i="21"/>
  <c r="AP9" i="21"/>
  <c r="AO9" i="21"/>
  <c r="AN9" i="21"/>
  <c r="AM9" i="21"/>
  <c r="AP8" i="21"/>
  <c r="AO8" i="21"/>
  <c r="AN8" i="21"/>
  <c r="AM8" i="21"/>
  <c r="AP7" i="21"/>
  <c r="AO7" i="21"/>
  <c r="AN7" i="21"/>
  <c r="AM7" i="21"/>
  <c r="AP6" i="21"/>
  <c r="AO6" i="21"/>
  <c r="AN6" i="21"/>
  <c r="AM6" i="21"/>
  <c r="AP5" i="21"/>
  <c r="AO5" i="21"/>
  <c r="AN5" i="21"/>
  <c r="AM5" i="21"/>
  <c r="AP4" i="21"/>
  <c r="AO4" i="21"/>
  <c r="AN4" i="21"/>
  <c r="AM4" i="21"/>
  <c r="AP3" i="21"/>
  <c r="AO3" i="21"/>
  <c r="AN3" i="21"/>
  <c r="AM3" i="21"/>
  <c r="AP38" i="21"/>
  <c r="AO38" i="21"/>
  <c r="AN38" i="21"/>
  <c r="AM38" i="21"/>
  <c r="AP37" i="21"/>
  <c r="AO37" i="21"/>
  <c r="AN37" i="21"/>
  <c r="AM37" i="21"/>
  <c r="AP36" i="21"/>
  <c r="AO36" i="21"/>
  <c r="AN36" i="21"/>
  <c r="AM36" i="21"/>
  <c r="AP35" i="21"/>
  <c r="AO35" i="21"/>
  <c r="AN35" i="21"/>
  <c r="AM35" i="21"/>
  <c r="AP34" i="21"/>
  <c r="AO34" i="21"/>
  <c r="AN34" i="21"/>
  <c r="AM34" i="21"/>
  <c r="AP33" i="21"/>
  <c r="AO33" i="21"/>
  <c r="AN33" i="21"/>
  <c r="AM33" i="21"/>
  <c r="AP32" i="21"/>
  <c r="AO32" i="21"/>
  <c r="AN32" i="21"/>
  <c r="AM32" i="21"/>
  <c r="AP31" i="21"/>
  <c r="AO31" i="21"/>
  <c r="AN31" i="21"/>
  <c r="AM31" i="21"/>
  <c r="AP30" i="21"/>
  <c r="AO30" i="21"/>
  <c r="AN30" i="21"/>
  <c r="AM30" i="21"/>
  <c r="AP29" i="21"/>
  <c r="AO29" i="21"/>
  <c r="AN29" i="21"/>
  <c r="AM29" i="21"/>
  <c r="AP28" i="21"/>
  <c r="AO28" i="21"/>
  <c r="AN28" i="21"/>
  <c r="AM28" i="21"/>
  <c r="AP27" i="21"/>
  <c r="AO27" i="21"/>
  <c r="AN27" i="21"/>
  <c r="AM27" i="21"/>
  <c r="BY26" i="21"/>
  <c r="BX26" i="21"/>
  <c r="BW26" i="21"/>
  <c r="BV26" i="21"/>
  <c r="BY25" i="21"/>
  <c r="BR25" i="21" s="1"/>
  <c r="BT25" i="21" s="1"/>
  <c r="BX25" i="21"/>
  <c r="BW25" i="21"/>
  <c r="BV25" i="21"/>
  <c r="BY24" i="21"/>
  <c r="BX24" i="21"/>
  <c r="BW24" i="21"/>
  <c r="BV24" i="21"/>
  <c r="BY23" i="21"/>
  <c r="BX23" i="21"/>
  <c r="BW23" i="21"/>
  <c r="BV23" i="21"/>
  <c r="BY22" i="21"/>
  <c r="BX22" i="21"/>
  <c r="BW22" i="21"/>
  <c r="BV22" i="21"/>
  <c r="BR22" i="21" s="1"/>
  <c r="BT22" i="21" s="1"/>
  <c r="BY21" i="21"/>
  <c r="BX21" i="21"/>
  <c r="BW21" i="21"/>
  <c r="BV21" i="21"/>
  <c r="BY20" i="21"/>
  <c r="BX20" i="21"/>
  <c r="BW20" i="21"/>
  <c r="BV20" i="21"/>
  <c r="BR20" i="21" s="1"/>
  <c r="BT20" i="21" s="1"/>
  <c r="BY19" i="21"/>
  <c r="BX19" i="21"/>
  <c r="BW19" i="21"/>
  <c r="BV19" i="21"/>
  <c r="BY18" i="21"/>
  <c r="BX18" i="21"/>
  <c r="BW18" i="21"/>
  <c r="BV18" i="21"/>
  <c r="BR18" i="21" s="1"/>
  <c r="BT18" i="21" s="1"/>
  <c r="BY17" i="21"/>
  <c r="BX17" i="21"/>
  <c r="BW17" i="21"/>
  <c r="BV17" i="21"/>
  <c r="BY16" i="21"/>
  <c r="BX16" i="21"/>
  <c r="BW16" i="21"/>
  <c r="BV16" i="21"/>
  <c r="BR16" i="21" s="1"/>
  <c r="BT16" i="21" s="1"/>
  <c r="BY15" i="21"/>
  <c r="BX15" i="21"/>
  <c r="BW15" i="21"/>
  <c r="BV15" i="21"/>
  <c r="BU13" i="21"/>
  <c r="AV13" i="21"/>
  <c r="Z13" i="21"/>
  <c r="AB15" i="21" s="1"/>
  <c r="Z26" i="21"/>
  <c r="AB28" i="21" s="1"/>
  <c r="Z25" i="21"/>
  <c r="AB27" i="21" s="1"/>
  <c r="Z24" i="21"/>
  <c r="AB26" i="21" s="1"/>
  <c r="Z23" i="21"/>
  <c r="AB25" i="21" s="1"/>
  <c r="Z22" i="21"/>
  <c r="AB24" i="21" s="1"/>
  <c r="Z21" i="21"/>
  <c r="AB23" i="21" s="1"/>
  <c r="Z20" i="21"/>
  <c r="AB22" i="21" s="1"/>
  <c r="Z19" i="21"/>
  <c r="AB21" i="21" s="1"/>
  <c r="Z18" i="21"/>
  <c r="AB20" i="21" s="1"/>
  <c r="Z17" i="21"/>
  <c r="AB19" i="21" s="1"/>
  <c r="Z16" i="21"/>
  <c r="AB18" i="21" s="1"/>
  <c r="Z15" i="21"/>
  <c r="AB17" i="21" s="1"/>
  <c r="Z14" i="21"/>
  <c r="AB16" i="21" s="1"/>
  <c r="Z12" i="21"/>
  <c r="AB14" i="21" s="1"/>
  <c r="Z11" i="21"/>
  <c r="AB13" i="21" s="1"/>
  <c r="Z10" i="21"/>
  <c r="AB12" i="21" s="1"/>
  <c r="Z9" i="21"/>
  <c r="AB11" i="21" s="1"/>
  <c r="Z8" i="21"/>
  <c r="AB10" i="21" s="1"/>
  <c r="Z7" i="21"/>
  <c r="AB9" i="21" s="1"/>
  <c r="Z6" i="21"/>
  <c r="AB8" i="21" s="1"/>
  <c r="Z5" i="21"/>
  <c r="AB7" i="21" s="1"/>
  <c r="Z4" i="21"/>
  <c r="AB6" i="21" s="1"/>
  <c r="Z3" i="21"/>
  <c r="AB5" i="21" s="1"/>
  <c r="Z38" i="21"/>
  <c r="AB40" i="21" s="1"/>
  <c r="F15" i="22"/>
  <c r="Z37" i="21"/>
  <c r="AB39" i="21" s="1"/>
  <c r="Z36" i="21"/>
  <c r="Z35" i="21"/>
  <c r="AB37" i="21" s="1"/>
  <c r="Z34" i="21"/>
  <c r="AB36" i="21" s="1"/>
  <c r="Z33" i="21"/>
  <c r="AB35" i="21" s="1"/>
  <c r="Z32" i="21"/>
  <c r="AB34" i="21" s="1"/>
  <c r="F9" i="22"/>
  <c r="Z31" i="21"/>
  <c r="F8" i="22" s="1"/>
  <c r="Z30" i="21"/>
  <c r="AB32" i="21" s="1"/>
  <c r="AH14" i="21"/>
  <c r="AH13" i="21"/>
  <c r="AH12" i="21"/>
  <c r="AH11" i="21"/>
  <c r="AH10" i="21"/>
  <c r="AH9" i="21"/>
  <c r="AH8" i="21"/>
  <c r="AH7" i="21"/>
  <c r="AH6" i="21"/>
  <c r="AH5" i="21"/>
  <c r="AH4" i="21"/>
  <c r="AH3" i="21"/>
  <c r="AV26" i="21"/>
  <c r="AV25" i="21"/>
  <c r="AV24" i="21"/>
  <c r="AV23" i="21"/>
  <c r="AV22" i="21"/>
  <c r="AV21" i="21"/>
  <c r="AV20" i="21"/>
  <c r="AV19" i="21"/>
  <c r="AV18" i="21"/>
  <c r="AV17" i="21"/>
  <c r="AV16" i="21"/>
  <c r="AV15" i="21"/>
  <c r="AV14" i="21"/>
  <c r="AV12" i="21"/>
  <c r="AV11" i="21"/>
  <c r="AV10" i="21"/>
  <c r="AV9" i="21"/>
  <c r="AV8" i="21"/>
  <c r="AV7" i="21"/>
  <c r="AV6" i="21"/>
  <c r="AV5" i="21"/>
  <c r="AV4" i="21"/>
  <c r="AV3" i="21"/>
  <c r="BU26" i="21"/>
  <c r="BU25" i="21"/>
  <c r="BU24" i="21"/>
  <c r="BU23" i="21"/>
  <c r="BU22" i="21"/>
  <c r="BU21" i="21"/>
  <c r="BU20" i="21"/>
  <c r="BU19" i="21"/>
  <c r="BU18" i="21"/>
  <c r="BU17" i="21"/>
  <c r="BU16" i="21"/>
  <c r="BU15" i="21"/>
  <c r="BU14" i="21"/>
  <c r="BU12" i="21"/>
  <c r="BU11" i="21"/>
  <c r="BU10" i="21"/>
  <c r="BU9" i="21"/>
  <c r="BU8" i="21"/>
  <c r="BU7" i="21"/>
  <c r="BU6" i="21"/>
  <c r="BU5" i="21"/>
  <c r="BU4" i="21"/>
  <c r="BU3" i="21"/>
  <c r="BU38" i="21"/>
  <c r="F68" i="22"/>
  <c r="BU37" i="21"/>
  <c r="F67" i="22" s="1"/>
  <c r="BU36" i="21"/>
  <c r="F66" i="22" s="1"/>
  <c r="BU35" i="21"/>
  <c r="F65" i="22" s="1"/>
  <c r="BU34" i="21"/>
  <c r="F64" i="22"/>
  <c r="BU33" i="21"/>
  <c r="F63" i="22" s="1"/>
  <c r="BU32" i="21"/>
  <c r="F62" i="22" s="1"/>
  <c r="BU31" i="21"/>
  <c r="F61" i="22" s="1"/>
  <c r="BU30" i="21"/>
  <c r="F60" i="22"/>
  <c r="BU29" i="21"/>
  <c r="F59" i="22" s="1"/>
  <c r="BU28" i="21"/>
  <c r="F58" i="22" s="1"/>
  <c r="AV38" i="21"/>
  <c r="F51" i="22" s="1"/>
  <c r="AV37" i="21"/>
  <c r="F50" i="22"/>
  <c r="AV36" i="21"/>
  <c r="F49" i="22" s="1"/>
  <c r="AV35" i="21"/>
  <c r="F48" i="22" s="1"/>
  <c r="AV34" i="21"/>
  <c r="F47" i="22" s="1"/>
  <c r="AV33" i="21"/>
  <c r="F46" i="22"/>
  <c r="AV32" i="21"/>
  <c r="F45" i="22" s="1"/>
  <c r="AV31" i="21"/>
  <c r="F44" i="22" s="1"/>
  <c r="AV30" i="21"/>
  <c r="F43" i="22" s="1"/>
  <c r="AV29" i="21"/>
  <c r="F42" i="22"/>
  <c r="AV28" i="21"/>
  <c r="F41" i="22" s="1"/>
  <c r="AV27" i="21"/>
  <c r="F40" i="22" s="1"/>
  <c r="BU27" i="21"/>
  <c r="F57" i="22" s="1"/>
  <c r="F69" i="22" s="1"/>
  <c r="Z27" i="21"/>
  <c r="AB29" i="21" s="1"/>
  <c r="A4" i="21"/>
  <c r="A5" i="21"/>
  <c r="A6" i="21" s="1"/>
  <c r="A7" i="21" s="1"/>
  <c r="A8" i="21" s="1"/>
  <c r="A9" i="21"/>
  <c r="A10" i="21" s="1"/>
  <c r="A11" i="21" s="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3" i="21"/>
  <c r="A34" i="21"/>
  <c r="A35" i="21" s="1"/>
  <c r="A36" i="21" s="1"/>
  <c r="A37" i="21"/>
  <c r="A38" i="21"/>
  <c r="A39" i="21" s="1"/>
  <c r="A40" i="21" s="1"/>
  <c r="A41" i="21" s="1"/>
  <c r="A42" i="21" s="1"/>
  <c r="A43" i="21" s="1"/>
  <c r="Q21" i="7"/>
  <c r="Q23" i="7"/>
  <c r="Q25" i="7"/>
  <c r="Q14" i="7"/>
  <c r="R14" i="7"/>
  <c r="R16" i="7"/>
  <c r="Q16" i="7"/>
  <c r="Q7" i="7"/>
  <c r="R7" i="7"/>
  <c r="Q9" i="7"/>
  <c r="P22" i="7"/>
  <c r="P21" i="7"/>
  <c r="P20" i="7"/>
  <c r="P19" i="7"/>
  <c r="P15" i="7"/>
  <c r="P14" i="7"/>
  <c r="P13" i="7"/>
  <c r="P12" i="7"/>
  <c r="N23" i="7"/>
  <c r="R22" i="7"/>
  <c r="R23" i="7"/>
  <c r="R20" i="7"/>
  <c r="R19" i="7"/>
  <c r="N16" i="7"/>
  <c r="R15" i="7"/>
  <c r="R13" i="7"/>
  <c r="R12" i="7"/>
  <c r="N9" i="7"/>
  <c r="N25" i="7"/>
  <c r="R8" i="7"/>
  <c r="R6" i="7"/>
  <c r="R5" i="7"/>
  <c r="G8" i="7"/>
  <c r="G7" i="7"/>
  <c r="G6" i="7"/>
  <c r="G5" i="7"/>
  <c r="I8" i="11"/>
  <c r="I7" i="11"/>
  <c r="I6" i="11"/>
  <c r="R6" i="11"/>
  <c r="I5" i="11"/>
  <c r="R5" i="11"/>
  <c r="Q5" i="11"/>
  <c r="O22" i="11"/>
  <c r="R22" i="11"/>
  <c r="O21" i="11"/>
  <c r="O20" i="11"/>
  <c r="R20" i="11"/>
  <c r="O19" i="11"/>
  <c r="O15" i="11"/>
  <c r="O14" i="11"/>
  <c r="O13" i="11"/>
  <c r="O12" i="11"/>
  <c r="O8" i="11"/>
  <c r="O7" i="11"/>
  <c r="R7" i="11"/>
  <c r="O6" i="11"/>
  <c r="O5" i="11"/>
  <c r="N22" i="11"/>
  <c r="Q22" i="11"/>
  <c r="N21" i="11"/>
  <c r="N20" i="11"/>
  <c r="N19" i="11"/>
  <c r="Q19" i="11"/>
  <c r="N15" i="11"/>
  <c r="N14" i="11"/>
  <c r="N13" i="11"/>
  <c r="N12" i="11"/>
  <c r="N8" i="11"/>
  <c r="N7" i="11"/>
  <c r="Q7" i="11"/>
  <c r="N6" i="11"/>
  <c r="Q6" i="11"/>
  <c r="N5" i="11"/>
  <c r="M22" i="11"/>
  <c r="M21" i="11"/>
  <c r="M20" i="11"/>
  <c r="M19" i="11"/>
  <c r="M15" i="11"/>
  <c r="M14" i="11"/>
  <c r="M13" i="11"/>
  <c r="M12" i="11"/>
  <c r="M8" i="11"/>
  <c r="M7" i="11"/>
  <c r="P7" i="11"/>
  <c r="M6" i="11"/>
  <c r="M5" i="11"/>
  <c r="P5" i="11"/>
  <c r="D23" i="11"/>
  <c r="B23" i="11"/>
  <c r="I22" i="11"/>
  <c r="G22" i="11"/>
  <c r="I21" i="11"/>
  <c r="G21" i="11"/>
  <c r="I20" i="11"/>
  <c r="P20" i="11"/>
  <c r="G20" i="11"/>
  <c r="I19" i="11"/>
  <c r="G19" i="11"/>
  <c r="D16" i="11"/>
  <c r="B16" i="11"/>
  <c r="B25" i="11"/>
  <c r="C9" i="11"/>
  <c r="I15" i="11"/>
  <c r="G15" i="11"/>
  <c r="I14" i="11"/>
  <c r="G14" i="11"/>
  <c r="I13" i="11"/>
  <c r="G13" i="11"/>
  <c r="G25" i="11"/>
  <c r="I12" i="11"/>
  <c r="R12" i="11"/>
  <c r="G12" i="11"/>
  <c r="D9" i="11"/>
  <c r="B9" i="11"/>
  <c r="C23" i="11"/>
  <c r="W3" i="11"/>
  <c r="J22" i="7"/>
  <c r="J21" i="7"/>
  <c r="J20" i="7"/>
  <c r="J19" i="7"/>
  <c r="J15" i="7"/>
  <c r="J14" i="7"/>
  <c r="J13" i="7"/>
  <c r="J12" i="7"/>
  <c r="J8" i="7"/>
  <c r="J6" i="7"/>
  <c r="J5" i="7"/>
  <c r="C16" i="7"/>
  <c r="J16" i="7"/>
  <c r="H22" i="7"/>
  <c r="H21" i="7"/>
  <c r="H20" i="7"/>
  <c r="H19" i="7"/>
  <c r="H23" i="7"/>
  <c r="H15" i="7"/>
  <c r="H14" i="7"/>
  <c r="H13" i="7"/>
  <c r="H12" i="7"/>
  <c r="H8" i="7"/>
  <c r="I8" i="7"/>
  <c r="H7" i="7"/>
  <c r="H9" i="7"/>
  <c r="I7" i="7"/>
  <c r="I9" i="7"/>
  <c r="I25" i="7"/>
  <c r="H6" i="7"/>
  <c r="I6" i="7"/>
  <c r="H5" i="7"/>
  <c r="I5" i="7"/>
  <c r="G22" i="7"/>
  <c r="I22" i="7"/>
  <c r="G21" i="7"/>
  <c r="I21" i="7"/>
  <c r="I23" i="7"/>
  <c r="G20" i="7"/>
  <c r="I20" i="7"/>
  <c r="G19" i="7"/>
  <c r="I19" i="7"/>
  <c r="G15" i="7"/>
  <c r="I15" i="7"/>
  <c r="G14" i="7"/>
  <c r="I14" i="7"/>
  <c r="G13" i="7"/>
  <c r="I13" i="7"/>
  <c r="G12" i="7"/>
  <c r="I12" i="7"/>
  <c r="I16" i="7"/>
  <c r="C23" i="7"/>
  <c r="J23" i="7"/>
  <c r="B23" i="7"/>
  <c r="B16" i="7"/>
  <c r="C9" i="7"/>
  <c r="B9" i="7"/>
  <c r="B25" i="7"/>
  <c r="E22" i="7"/>
  <c r="E21" i="7"/>
  <c r="E20" i="7"/>
  <c r="E19" i="7"/>
  <c r="E15" i="7"/>
  <c r="E14" i="7"/>
  <c r="E13" i="7"/>
  <c r="E12" i="7"/>
  <c r="E25" i="7"/>
  <c r="Q13" i="11"/>
  <c r="P12" i="11"/>
  <c r="P6" i="11"/>
  <c r="R15" i="11"/>
  <c r="R19" i="11"/>
  <c r="D25" i="11"/>
  <c r="E9" i="11"/>
  <c r="P22" i="11"/>
  <c r="R21" i="7"/>
  <c r="C25" i="7"/>
  <c r="J25" i="7"/>
  <c r="J9" i="7"/>
  <c r="H16" i="7"/>
  <c r="R13" i="11"/>
  <c r="P13" i="11"/>
  <c r="P19" i="11"/>
  <c r="B5" i="22"/>
  <c r="BD15" i="21"/>
  <c r="K81" i="22"/>
  <c r="BD28" i="21"/>
  <c r="K41" i="22"/>
  <c r="J75" i="22" s="1"/>
  <c r="Z28" i="21"/>
  <c r="AB30" i="21" s="1"/>
  <c r="BT11" i="21"/>
  <c r="J79" i="22"/>
  <c r="BR3" i="21"/>
  <c r="BT3" i="21"/>
  <c r="BR5" i="21"/>
  <c r="BT5" i="21"/>
  <c r="BR7" i="21"/>
  <c r="BT7" i="21"/>
  <c r="BR13" i="21"/>
  <c r="BT13" i="21" s="1"/>
  <c r="BR19" i="21"/>
  <c r="BT19" i="21" s="1"/>
  <c r="BR24" i="21"/>
  <c r="BT24" i="21" s="1"/>
  <c r="BR26" i="21"/>
  <c r="BT26" i="21" s="1"/>
  <c r="J76" i="22"/>
  <c r="BD7" i="21"/>
  <c r="BD11" i="21"/>
  <c r="BD17" i="21"/>
  <c r="BT28" i="21"/>
  <c r="K58" i="22"/>
  <c r="K75" i="22"/>
  <c r="BT36" i="21"/>
  <c r="K66" i="22" s="1"/>
  <c r="K83" i="22" s="1"/>
  <c r="I42" i="22"/>
  <c r="M42" i="22" s="1"/>
  <c r="M66" i="22"/>
  <c r="BT48" i="21"/>
  <c r="K66" i="24" s="1"/>
  <c r="K83" i="24" s="1"/>
  <c r="BT49" i="21"/>
  <c r="K67" i="24" s="1"/>
  <c r="K84" i="24" s="1"/>
  <c r="BT44" i="21"/>
  <c r="K62" i="24" s="1"/>
  <c r="K79" i="24" s="1"/>
  <c r="BT38" i="21"/>
  <c r="K68" i="22" s="1"/>
  <c r="K85" i="22"/>
  <c r="BT45" i="21"/>
  <c r="K63" i="24" s="1"/>
  <c r="K80" i="24" s="1"/>
  <c r="M65" i="22"/>
  <c r="BD37" i="21"/>
  <c r="K50" i="22"/>
  <c r="J84" i="22" s="1"/>
  <c r="J45" i="22"/>
  <c r="E85" i="22"/>
  <c r="L85" i="22"/>
  <c r="J57" i="24"/>
  <c r="BD39" i="21"/>
  <c r="K40" i="24"/>
  <c r="J74" i="24" s="1"/>
  <c r="C69" i="22"/>
  <c r="M15" i="22"/>
  <c r="O15" i="22" s="1"/>
  <c r="I85" i="22"/>
  <c r="M8" i="22"/>
  <c r="M58" i="22"/>
  <c r="E83" i="22"/>
  <c r="L83" i="22" s="1"/>
  <c r="M14" i="22"/>
  <c r="O14" i="22" s="1"/>
  <c r="I84" i="22"/>
  <c r="M84" i="22" s="1"/>
  <c r="M12" i="22"/>
  <c r="O12" i="22"/>
  <c r="I82" i="22"/>
  <c r="M4" i="22"/>
  <c r="O4" i="22" s="1"/>
  <c r="BD30" i="21"/>
  <c r="K43" i="22" s="1"/>
  <c r="J77" i="22" s="1"/>
  <c r="P8" i="11"/>
  <c r="Q8" i="11"/>
  <c r="R8" i="11"/>
  <c r="R25" i="7"/>
  <c r="R30" i="7"/>
  <c r="R31" i="7"/>
  <c r="Q12" i="11"/>
  <c r="E16" i="11"/>
  <c r="H25" i="7"/>
  <c r="Q26" i="7"/>
  <c r="Q27" i="7"/>
  <c r="BT35" i="21"/>
  <c r="K65" i="22"/>
  <c r="K82" i="22" s="1"/>
  <c r="BT37" i="21"/>
  <c r="K67" i="22" s="1"/>
  <c r="K84" i="22"/>
  <c r="P25" i="7"/>
  <c r="E27" i="7"/>
  <c r="E23" i="11"/>
  <c r="C16" i="11"/>
  <c r="Q14" i="11"/>
  <c r="P14" i="11"/>
  <c r="R14" i="11"/>
  <c r="Q20" i="11"/>
  <c r="F6" i="22"/>
  <c r="F10" i="22"/>
  <c r="J47" i="22"/>
  <c r="K21" i="24"/>
  <c r="M9" i="22"/>
  <c r="F5" i="22"/>
  <c r="P15" i="11"/>
  <c r="Q15" i="11"/>
  <c r="R9" i="7"/>
  <c r="J49" i="22"/>
  <c r="Q21" i="11"/>
  <c r="R21" i="11"/>
  <c r="P21" i="11"/>
  <c r="BD13" i="21"/>
  <c r="BT6" i="21"/>
  <c r="D29" i="21"/>
  <c r="L6" i="22"/>
  <c r="L16" i="22" s="1"/>
  <c r="L5" i="22"/>
  <c r="E28" i="21"/>
  <c r="K6" i="22"/>
  <c r="K16" i="22"/>
  <c r="K5" i="22"/>
  <c r="BT41" i="21"/>
  <c r="K59" i="24" s="1"/>
  <c r="K76" i="24"/>
  <c r="J59" i="24"/>
  <c r="M59" i="24"/>
  <c r="BD41" i="21"/>
  <c r="K42" i="24"/>
  <c r="J76" i="24" s="1"/>
  <c r="C33" i="24"/>
  <c r="O9" i="22"/>
  <c r="I79" i="22"/>
  <c r="F52" i="22"/>
  <c r="L75" i="22"/>
  <c r="M43" i="24"/>
  <c r="F11" i="22"/>
  <c r="F7" i="24"/>
  <c r="M40" i="24"/>
  <c r="F7" i="22"/>
  <c r="BD27" i="21"/>
  <c r="K40" i="22" s="1"/>
  <c r="J44" i="22"/>
  <c r="M47" i="22"/>
  <c r="E77" i="24"/>
  <c r="L77" i="24"/>
  <c r="C33" i="22"/>
  <c r="J45" i="24"/>
  <c r="BD45" i="21"/>
  <c r="K46" i="24" s="1"/>
  <c r="J80" i="24" s="1"/>
  <c r="I74" i="22"/>
  <c r="BT46" i="21"/>
  <c r="K64" i="24" s="1"/>
  <c r="K81" i="24" s="1"/>
  <c r="BD47" i="21"/>
  <c r="K48" i="24"/>
  <c r="J82" i="24" s="1"/>
  <c r="BT50" i="21"/>
  <c r="K68" i="24" s="1"/>
  <c r="K85" i="24" s="1"/>
  <c r="A74" i="25"/>
  <c r="A75" i="25"/>
  <c r="A76" i="25"/>
  <c r="A77" i="25"/>
  <c r="A78" i="25"/>
  <c r="A79" i="25"/>
  <c r="A80" i="25"/>
  <c r="A81" i="25"/>
  <c r="A82" i="25"/>
  <c r="A83" i="25"/>
  <c r="A84" i="25"/>
  <c r="A85" i="25"/>
  <c r="A58" i="25"/>
  <c r="A59" i="25"/>
  <c r="A60" i="25"/>
  <c r="A61" i="25"/>
  <c r="A62" i="25"/>
  <c r="A63" i="25"/>
  <c r="A64" i="25"/>
  <c r="A65" i="25"/>
  <c r="A66" i="25"/>
  <c r="A67" i="25"/>
  <c r="A68" i="25"/>
  <c r="K26" i="24"/>
  <c r="L74" i="24"/>
  <c r="B86" i="24"/>
  <c r="M6" i="24"/>
  <c r="O6" i="24" s="1"/>
  <c r="I76" i="24" s="1"/>
  <c r="M76" i="24" s="1"/>
  <c r="K31" i="24"/>
  <c r="BD33" i="21"/>
  <c r="K46" i="22"/>
  <c r="J80" i="22" s="1"/>
  <c r="M41" i="24"/>
  <c r="J75" i="24"/>
  <c r="BD46" i="21"/>
  <c r="K47" i="24"/>
  <c r="J81" i="24"/>
  <c r="M81" i="24" s="1"/>
  <c r="BD50" i="21"/>
  <c r="K51" i="24"/>
  <c r="J85" i="24" s="1"/>
  <c r="K22" i="24"/>
  <c r="M57" i="25"/>
  <c r="BT51" i="21"/>
  <c r="K57" i="25" s="1"/>
  <c r="K74" i="25" s="1"/>
  <c r="M40" i="25"/>
  <c r="F4" i="25"/>
  <c r="D21" i="25"/>
  <c r="K21" i="25" s="1"/>
  <c r="K69" i="25"/>
  <c r="K86" i="25"/>
  <c r="K26" i="25" l="1"/>
  <c r="BT56" i="21"/>
  <c r="K25" i="25"/>
  <c r="F52" i="25"/>
  <c r="B16" i="25"/>
  <c r="F16" i="25"/>
  <c r="BD55" i="21"/>
  <c r="C86" i="25"/>
  <c r="K24" i="25"/>
  <c r="C16" i="25"/>
  <c r="BD54" i="21"/>
  <c r="N16" i="25"/>
  <c r="D16" i="25"/>
  <c r="BT53" i="21"/>
  <c r="L16" i="25"/>
  <c r="K29" i="24"/>
  <c r="M10" i="24"/>
  <c r="O10" i="24" s="1"/>
  <c r="I80" i="24" s="1"/>
  <c r="M80" i="24" s="1"/>
  <c r="M14" i="24"/>
  <c r="O14" i="24" s="1"/>
  <c r="I84" i="24" s="1"/>
  <c r="M12" i="24"/>
  <c r="O12" i="24" s="1"/>
  <c r="I82" i="24" s="1"/>
  <c r="M82" i="24" s="1"/>
  <c r="O24" i="22"/>
  <c r="O25" i="22" s="1"/>
  <c r="J74" i="22"/>
  <c r="J86" i="24"/>
  <c r="I51" i="22"/>
  <c r="M51" i="22" s="1"/>
  <c r="BD38" i="21"/>
  <c r="K51" i="22" s="1"/>
  <c r="J85" i="22" s="1"/>
  <c r="I61" i="22"/>
  <c r="M61" i="22" s="1"/>
  <c r="BT31" i="21"/>
  <c r="K61" i="22" s="1"/>
  <c r="K78" i="22" s="1"/>
  <c r="BT29" i="21"/>
  <c r="K59" i="22" s="1"/>
  <c r="K76" i="22" s="1"/>
  <c r="BT9" i="21"/>
  <c r="M77" i="24"/>
  <c r="B21" i="22"/>
  <c r="D21" i="22" s="1"/>
  <c r="I21" i="22" s="1"/>
  <c r="K21" i="22" s="1"/>
  <c r="L52" i="22"/>
  <c r="J33" i="24"/>
  <c r="N16" i="24"/>
  <c r="K52" i="24"/>
  <c r="B29" i="22"/>
  <c r="D29" i="22" s="1"/>
  <c r="I29" i="22" s="1"/>
  <c r="M48" i="22"/>
  <c r="M78" i="22"/>
  <c r="D59" i="21"/>
  <c r="AC59" i="21"/>
  <c r="AB59" i="21"/>
  <c r="I52" i="22"/>
  <c r="AB38" i="21"/>
  <c r="F13" i="22"/>
  <c r="BR15" i="21"/>
  <c r="BT15" i="21" s="1"/>
  <c r="BR17" i="21"/>
  <c r="BT17" i="21" s="1"/>
  <c r="BR21" i="21"/>
  <c r="BT21" i="21" s="1"/>
  <c r="BR23" i="21"/>
  <c r="BT23" i="21" s="1"/>
  <c r="I69" i="24"/>
  <c r="M69" i="24" s="1"/>
  <c r="M57" i="24"/>
  <c r="J58" i="24"/>
  <c r="J69" i="24" s="1"/>
  <c r="BT40" i="21"/>
  <c r="K58" i="24" s="1"/>
  <c r="K75" i="24" s="1"/>
  <c r="AB33" i="21"/>
  <c r="BT8" i="21"/>
  <c r="M77" i="22"/>
  <c r="D25" i="24"/>
  <c r="K25" i="24" s="1"/>
  <c r="B33" i="24"/>
  <c r="J52" i="22"/>
  <c r="M85" i="22"/>
  <c r="I57" i="22"/>
  <c r="BT27" i="21"/>
  <c r="K57" i="22" s="1"/>
  <c r="I63" i="22"/>
  <c r="M63" i="22" s="1"/>
  <c r="BT33" i="21"/>
  <c r="K63" i="22" s="1"/>
  <c r="K80" i="22" s="1"/>
  <c r="M80" i="22" s="1"/>
  <c r="B24" i="22"/>
  <c r="M43" i="22"/>
  <c r="F14" i="22"/>
  <c r="J48" i="22"/>
  <c r="BD35" i="21"/>
  <c r="K48" i="22" s="1"/>
  <c r="J82" i="22" s="1"/>
  <c r="M82" i="22" s="1"/>
  <c r="K24" i="24"/>
  <c r="E75" i="24"/>
  <c r="B22" i="22"/>
  <c r="D22" i="22" s="1"/>
  <c r="I22" i="22" s="1"/>
  <c r="M4" i="24"/>
  <c r="E29" i="21"/>
  <c r="J33" i="22" s="1"/>
  <c r="I60" i="22"/>
  <c r="M60" i="22" s="1"/>
  <c r="E74" i="22"/>
  <c r="M41" i="22"/>
  <c r="BT32" i="21"/>
  <c r="K62" i="22" s="1"/>
  <c r="K79" i="22" s="1"/>
  <c r="M79" i="22" s="1"/>
  <c r="I64" i="22"/>
  <c r="M64" i="22" s="1"/>
  <c r="J6" i="22"/>
  <c r="I60" i="24"/>
  <c r="M60" i="24" s="1"/>
  <c r="BT42" i="21"/>
  <c r="K60" i="24" s="1"/>
  <c r="K77" i="24" s="1"/>
  <c r="F13" i="24"/>
  <c r="AB50" i="21"/>
  <c r="E52" i="24"/>
  <c r="O5" i="24"/>
  <c r="I75" i="24" s="1"/>
  <c r="E84" i="24"/>
  <c r="L84" i="24" s="1"/>
  <c r="J33" i="25"/>
  <c r="F69" i="24"/>
  <c r="BD49" i="21"/>
  <c r="K50" i="24" s="1"/>
  <c r="J84" i="24" s="1"/>
  <c r="M84" i="24" s="1"/>
  <c r="I50" i="24"/>
  <c r="M50" i="24" s="1"/>
  <c r="K74" i="24"/>
  <c r="K86" i="24" s="1"/>
  <c r="F12" i="22"/>
  <c r="BR12" i="21"/>
  <c r="BT12" i="21" s="1"/>
  <c r="B26" i="22"/>
  <c r="D26" i="22" s="1"/>
  <c r="I26" i="22" s="1"/>
  <c r="M45" i="22"/>
  <c r="B32" i="22"/>
  <c r="D32" i="22" s="1"/>
  <c r="I32" i="22" s="1"/>
  <c r="O11" i="22"/>
  <c r="I81" i="22" s="1"/>
  <c r="M81" i="22" s="1"/>
  <c r="B16" i="24"/>
  <c r="L16" i="24"/>
  <c r="M68" i="24"/>
  <c r="J69" i="25"/>
  <c r="M13" i="24"/>
  <c r="O13" i="24" s="1"/>
  <c r="I83" i="24" s="1"/>
  <c r="M83" i="24" s="1"/>
  <c r="AC54" i="21"/>
  <c r="D54" i="21"/>
  <c r="D52" i="22"/>
  <c r="B69" i="22"/>
  <c r="BR14" i="21"/>
  <c r="BT14" i="21" s="1"/>
  <c r="E80" i="22"/>
  <c r="L80" i="22" s="1"/>
  <c r="F52" i="24"/>
  <c r="C16" i="24"/>
  <c r="O8" i="24"/>
  <c r="I78" i="24" s="1"/>
  <c r="K27" i="24"/>
  <c r="I6" i="22"/>
  <c r="M6" i="22" s="1"/>
  <c r="AC29" i="21"/>
  <c r="AH29" i="21"/>
  <c r="N6" i="22" s="1"/>
  <c r="N16" i="22" s="1"/>
  <c r="I44" i="24"/>
  <c r="M44" i="24" s="1"/>
  <c r="BD43" i="21"/>
  <c r="K44" i="24" s="1"/>
  <c r="J78" i="24" s="1"/>
  <c r="M64" i="24"/>
  <c r="F4" i="22"/>
  <c r="F16" i="22" s="1"/>
  <c r="E52" i="22"/>
  <c r="D16" i="24"/>
  <c r="O9" i="24"/>
  <c r="I79" i="24" s="1"/>
  <c r="M79" i="24" s="1"/>
  <c r="O15" i="24"/>
  <c r="I85" i="24" s="1"/>
  <c r="M85" i="24" s="1"/>
  <c r="BC51" i="21"/>
  <c r="J5" i="22"/>
  <c r="J16" i="22" s="1"/>
  <c r="I65" i="24"/>
  <c r="M65" i="24" s="1"/>
  <c r="D52" i="21"/>
  <c r="AB61" i="21"/>
  <c r="AB52" i="21"/>
  <c r="AC61" i="21"/>
  <c r="AC53" i="21"/>
  <c r="C69" i="25"/>
  <c r="I5" i="22"/>
  <c r="C86" i="24"/>
  <c r="D57" i="21"/>
  <c r="D62" i="21"/>
  <c r="I4" i="25"/>
  <c r="AB60" i="21"/>
  <c r="AB51" i="21"/>
  <c r="AB43" i="21"/>
  <c r="AC60" i="21"/>
  <c r="AC52" i="21"/>
  <c r="BD52" i="21"/>
  <c r="K41" i="25" s="1"/>
  <c r="J75" i="25" s="1"/>
  <c r="H57" i="25"/>
  <c r="AB42" i="21"/>
  <c r="J16" i="25"/>
  <c r="F9" i="24"/>
  <c r="F16" i="24" s="1"/>
  <c r="F10" i="24"/>
  <c r="D56" i="21"/>
  <c r="AB57" i="21"/>
  <c r="I41" i="25"/>
  <c r="I52" i="25" s="1"/>
  <c r="AB56" i="21"/>
  <c r="C33" i="25"/>
  <c r="I58" i="25"/>
  <c r="I69" i="25" s="1"/>
  <c r="M69" i="25" s="1"/>
  <c r="AB55" i="21"/>
  <c r="D52" i="25"/>
  <c r="AB54" i="21"/>
  <c r="AB62" i="21"/>
  <c r="C52" i="25"/>
  <c r="D22" i="25"/>
  <c r="K22" i="25" s="1"/>
  <c r="B33" i="25"/>
  <c r="E75" i="25"/>
  <c r="B86" i="25"/>
  <c r="L52" i="25"/>
  <c r="O5" i="25"/>
  <c r="M52" i="25" l="1"/>
  <c r="K33" i="25"/>
  <c r="O22" i="25" s="1"/>
  <c r="O27" i="25" s="1"/>
  <c r="O29" i="25" s="1"/>
  <c r="K33" i="24"/>
  <c r="O23" i="24" s="1"/>
  <c r="M58" i="25"/>
  <c r="J40" i="25"/>
  <c r="J52" i="25" s="1"/>
  <c r="BD51" i="21"/>
  <c r="K40" i="25" s="1"/>
  <c r="L75" i="24"/>
  <c r="L86" i="24" s="1"/>
  <c r="E86" i="24"/>
  <c r="B33" i="22"/>
  <c r="D24" i="22"/>
  <c r="I52" i="24"/>
  <c r="M52" i="24" s="1"/>
  <c r="H74" i="25"/>
  <c r="H75" i="25" s="1"/>
  <c r="H76" i="25" s="1"/>
  <c r="H77" i="25" s="1"/>
  <c r="H78" i="25" s="1"/>
  <c r="H79" i="25" s="1"/>
  <c r="H80" i="25" s="1"/>
  <c r="H81" i="25" s="1"/>
  <c r="H82" i="25" s="1"/>
  <c r="H83" i="25" s="1"/>
  <c r="H84" i="25" s="1"/>
  <c r="H85" i="25" s="1"/>
  <c r="H58" i="25"/>
  <c r="H59" i="25" s="1"/>
  <c r="H60" i="25" s="1"/>
  <c r="H61" i="25" s="1"/>
  <c r="H62" i="25" s="1"/>
  <c r="H63" i="25" s="1"/>
  <c r="H64" i="25" s="1"/>
  <c r="H65" i="25" s="1"/>
  <c r="H66" i="25" s="1"/>
  <c r="H67" i="25" s="1"/>
  <c r="H68" i="25" s="1"/>
  <c r="O6" i="22"/>
  <c r="I76" i="22" s="1"/>
  <c r="M76" i="22" s="1"/>
  <c r="I69" i="22"/>
  <c r="M69" i="22" s="1"/>
  <c r="M57" i="22"/>
  <c r="J86" i="22"/>
  <c r="E86" i="22"/>
  <c r="L74" i="22"/>
  <c r="L86" i="22" s="1"/>
  <c r="I16" i="25"/>
  <c r="M4" i="25"/>
  <c r="M41" i="25"/>
  <c r="M16" i="24"/>
  <c r="O4" i="24"/>
  <c r="K52" i="22"/>
  <c r="I75" i="25"/>
  <c r="E86" i="25"/>
  <c r="L75" i="25"/>
  <c r="L86" i="25" s="1"/>
  <c r="D33" i="24"/>
  <c r="M78" i="24"/>
  <c r="K69" i="24"/>
  <c r="M52" i="22"/>
  <c r="K74" i="22"/>
  <c r="K69" i="22"/>
  <c r="M5" i="22"/>
  <c r="I16" i="22"/>
  <c r="K22" i="22"/>
  <c r="K23" i="22" s="1"/>
  <c r="D33" i="25"/>
  <c r="I33" i="25"/>
  <c r="O24" i="24" l="1"/>
  <c r="O25" i="24" s="1"/>
  <c r="I74" i="24"/>
  <c r="O16" i="24"/>
  <c r="I24" i="22"/>
  <c r="I33" i="22" s="1"/>
  <c r="D33" i="22"/>
  <c r="M75" i="24"/>
  <c r="K52" i="25"/>
  <c r="J74" i="25"/>
  <c r="J86" i="25" s="1"/>
  <c r="K86" i="22"/>
  <c r="M74" i="22"/>
  <c r="O5" i="22"/>
  <c r="M16" i="22"/>
  <c r="O4" i="25"/>
  <c r="M16" i="25"/>
  <c r="M75" i="25"/>
  <c r="I74" i="25" l="1"/>
  <c r="O16" i="25"/>
  <c r="O16" i="22"/>
  <c r="I75" i="22"/>
  <c r="K24" i="22"/>
  <c r="K25" i="22" s="1"/>
  <c r="K26" i="22" s="1"/>
  <c r="K27" i="22" s="1"/>
  <c r="K28" i="22" s="1"/>
  <c r="K29" i="22" s="1"/>
  <c r="K30" i="22" s="1"/>
  <c r="K31" i="22" s="1"/>
  <c r="K32" i="22" s="1"/>
  <c r="K33" i="22" s="1"/>
  <c r="O22" i="22" s="1"/>
  <c r="O27" i="22" s="1"/>
  <c r="O29" i="22" s="1"/>
  <c r="M74" i="24"/>
  <c r="M86" i="24" s="1"/>
  <c r="I86" i="24"/>
  <c r="M74" i="25" l="1"/>
  <c r="M86" i="25" s="1"/>
  <c r="I86" i="25"/>
  <c r="M75" i="22"/>
  <c r="M86" i="22" s="1"/>
  <c r="I8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Keefe, Johanna</author>
    <author>Ploof, Betsy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Paid Claims Report- All Claims (Pooled &amp; Non-Pooled)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Paid Claims Report</t>
        </r>
      </text>
    </comment>
    <comment ref="V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From Agg Statement
You need to go back each month on the agg report to show the retro changes</t>
        </r>
      </text>
    </comment>
    <comment ref="AA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Ploof, Betsy:</t>
        </r>
        <r>
          <rPr>
            <sz val="9"/>
            <color indexed="81"/>
            <rFont val="Tahoma"/>
            <family val="2"/>
          </rPr>
          <t xml:space="preserve">
Eligibilty Roster from CCR
</t>
        </r>
      </text>
    </comment>
    <comment ref="AQ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Paid Claims Report- All Claims (Pooled &amp; Non-Pooled)</t>
        </r>
      </text>
    </comment>
    <comment ref="A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from Page 3 or premium statement</t>
        </r>
      </text>
    </comment>
    <comment ref="BM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Paid Claims Report- All Claims (Pooled &amp; Non-Pooled)</t>
        </r>
      </text>
    </comment>
    <comment ref="BN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from Page 3 or premium statement</t>
        </r>
      </text>
    </comment>
    <comment ref="U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Cigna charged 2018 claims funding in January</t>
        </r>
      </text>
    </comment>
    <comment ref="U1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Not sure where these claims funding factors came from- I found them on the Group Premium Statement for Feb (under billing detail). These do not match Option 1 or 2 on the renewal.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Keefe, Johanna</author>
  </authors>
  <commentList>
    <comment ref="I20" authorId="0" shapeId="0" xr:uid="{662D889D-7871-4ED4-921A-D3EE8DC0F2D6}">
      <text>
        <r>
          <rPr>
            <b/>
            <sz val="9"/>
            <color indexed="81"/>
            <rFont val="Tahoma"/>
            <family val="2"/>
          </rPr>
          <t>Keefe, Johanna:</t>
        </r>
        <r>
          <rPr>
            <sz val="9"/>
            <color indexed="81"/>
            <rFont val="Tahoma"/>
            <family val="2"/>
          </rPr>
          <t xml:space="preserve">
includes medical, Rx and dental claims because these are factored into the surplus calculation for VSC</t>
        </r>
      </text>
    </comment>
  </commentList>
</comments>
</file>

<file path=xl/sharedStrings.xml><?xml version="1.0" encoding="utf-8"?>
<sst xmlns="http://schemas.openxmlformats.org/spreadsheetml/2006/main" count="514" uniqueCount="152">
  <si>
    <t>PPO</t>
  </si>
  <si>
    <t>Vision</t>
  </si>
  <si>
    <t xml:space="preserve">Medical </t>
  </si>
  <si>
    <t>Single</t>
  </si>
  <si>
    <t xml:space="preserve">Family </t>
  </si>
  <si>
    <t>2 Person</t>
  </si>
  <si>
    <t>Famiy</t>
  </si>
  <si>
    <t>Family</t>
  </si>
  <si>
    <t>Dental</t>
  </si>
  <si>
    <t>Premium Rate</t>
  </si>
  <si>
    <t>CDHP 1500</t>
  </si>
  <si>
    <t>CDHP 2500</t>
  </si>
  <si>
    <t>EE+Children</t>
  </si>
  <si>
    <t>count</t>
  </si>
  <si>
    <t>H.S.A.</t>
  </si>
  <si>
    <t>total</t>
  </si>
  <si>
    <t>TOTAL</t>
  </si>
  <si>
    <t>prem equivalent</t>
  </si>
  <si>
    <t>mo bcbs premium</t>
  </si>
  <si>
    <t>% change enrollment</t>
  </si>
  <si>
    <t>tier 1</t>
  </si>
  <si>
    <t>tier 2</t>
  </si>
  <si>
    <t>tier 3</t>
  </si>
  <si>
    <t>monthly ee</t>
  </si>
  <si>
    <t>biweekly ee</t>
  </si>
  <si>
    <t>monthly er</t>
  </si>
  <si>
    <t>most expensive F and highest enrollmrnt</t>
  </si>
  <si>
    <t>most expensive D and highest enrollmrnt</t>
  </si>
  <si>
    <t>most expensive S, close in enrlmt to PPO</t>
  </si>
  <si>
    <t>% enrld</t>
  </si>
  <si>
    <t>equiv prem</t>
  </si>
  <si>
    <t>LTD Premium</t>
  </si>
  <si>
    <t>STD Premium</t>
  </si>
  <si>
    <t>Date</t>
  </si>
  <si>
    <t>MEDICAL</t>
  </si>
  <si>
    <t>Total Subscribers</t>
  </si>
  <si>
    <t>Total Members</t>
  </si>
  <si>
    <t>DENTAL</t>
  </si>
  <si>
    <t>VISION</t>
  </si>
  <si>
    <t>ANCILLARY</t>
  </si>
  <si>
    <t>EE Only Equivalent Premiums</t>
  </si>
  <si>
    <t>EE + SP Equivalent Premiums</t>
  </si>
  <si>
    <t>EE + CH Equivalent Premiums</t>
  </si>
  <si>
    <t>EE + F Equivalent Premiums</t>
  </si>
  <si>
    <t>EE Only EE contributions</t>
  </si>
  <si>
    <t>EE + SP EE Contributions</t>
  </si>
  <si>
    <t>EE + CH EE Contributions</t>
  </si>
  <si>
    <t>EE + F EE Contributions</t>
  </si>
  <si>
    <t>Total EE Contributions</t>
  </si>
  <si>
    <t>EE Only Enrollment</t>
  </si>
  <si>
    <t>EE + SP Enrollment</t>
  </si>
  <si>
    <t>EE + CH Enrollment</t>
  </si>
  <si>
    <t>EE + F Enrollment</t>
  </si>
  <si>
    <t>EE Only Claims Funding</t>
  </si>
  <si>
    <t>EE +SP Claims Funding</t>
  </si>
  <si>
    <t>EE + CH Claims Funding</t>
  </si>
  <si>
    <t>EE + F Claims Funding</t>
  </si>
  <si>
    <t>EE Only Admin Fee</t>
  </si>
  <si>
    <t>EE + SP Admin Fee</t>
  </si>
  <si>
    <t>Ee + CH Admin Fee</t>
  </si>
  <si>
    <t>EE + F Admin Fee</t>
  </si>
  <si>
    <t>EE Only HSA Funding</t>
  </si>
  <si>
    <t>EE + SP HSA Funding</t>
  </si>
  <si>
    <t>EE + CH HSA Funding</t>
  </si>
  <si>
    <t>EE + F HSA Funding</t>
  </si>
  <si>
    <t>EE Only Equivalent Premium</t>
  </si>
  <si>
    <t>EE + SP Equivalent Premium</t>
  </si>
  <si>
    <t>EE + CH Equivalent Premium</t>
  </si>
  <si>
    <t>EE + F Equivalent Premium</t>
  </si>
  <si>
    <t>EE Only EE Contribution</t>
  </si>
  <si>
    <t>Life and AD&amp;D Premium</t>
  </si>
  <si>
    <t>EE Only ISL</t>
  </si>
  <si>
    <t>EE + S ISL</t>
  </si>
  <si>
    <t>EE + CH ISL</t>
  </si>
  <si>
    <t>EE + F ISL</t>
  </si>
  <si>
    <t>EE Only ASL</t>
  </si>
  <si>
    <t>EE + S ASL</t>
  </si>
  <si>
    <t>EE + CH ASL</t>
  </si>
  <si>
    <t>EE + F ASL</t>
  </si>
  <si>
    <t>EXHIBIT 1: MEDICAL PLAN ENROLLMENT</t>
  </si>
  <si>
    <t>EE Only</t>
  </si>
  <si>
    <t>EE + SP</t>
  </si>
  <si>
    <t>EE + CH</t>
  </si>
  <si>
    <t>EE + F</t>
  </si>
  <si>
    <t>Total Employees</t>
  </si>
  <si>
    <t>EXHIBIT 2: MEDICAL PLAN FIXED COSTS</t>
  </si>
  <si>
    <t>Gross Paid by VSC</t>
  </si>
  <si>
    <t>Admin Fees</t>
  </si>
  <si>
    <t>Employee Contributions</t>
  </si>
  <si>
    <t>Net paid by VSC</t>
  </si>
  <si>
    <t>Average</t>
  </si>
  <si>
    <t>Total</t>
  </si>
  <si>
    <t>EXHIBIT 4: RENEWAL FACTORS</t>
  </si>
  <si>
    <t>Loss Ratio</t>
  </si>
  <si>
    <t>Dental Claims</t>
  </si>
  <si>
    <t>Vision Claims</t>
  </si>
  <si>
    <t>Gross VSC Premium</t>
  </si>
  <si>
    <t>Net VSC Premium</t>
  </si>
  <si>
    <t>Total Claims</t>
  </si>
  <si>
    <t>Gross Premiums</t>
  </si>
  <si>
    <t>EE Contributions</t>
  </si>
  <si>
    <t>Net Premiums</t>
  </si>
  <si>
    <t>Total Premium</t>
  </si>
  <si>
    <t>Vision Total Premium</t>
  </si>
  <si>
    <t>Vision EE Contributions</t>
  </si>
  <si>
    <t>Vision Net Premium</t>
  </si>
  <si>
    <t>Net Medical Plan Cost</t>
  </si>
  <si>
    <t>Net Vision Plan Cost</t>
  </si>
  <si>
    <t>Net Dental Plan Cost</t>
  </si>
  <si>
    <t>Net Ancillary Cost</t>
  </si>
  <si>
    <t>Total Net Cost to VSC</t>
  </si>
  <si>
    <t>Net Claims Paid by Cigna</t>
  </si>
  <si>
    <t>Claims Funding to Cigna</t>
  </si>
  <si>
    <t>ISL Premiums</t>
  </si>
  <si>
    <t>ASL Premiums</t>
  </si>
  <si>
    <t>EXHIBIT 5: DENTAL PLAN ENROLLMENT</t>
  </si>
  <si>
    <t>EXHIBIT 6: DENTAL FINANCIALS</t>
  </si>
  <si>
    <t>EXHIBIT 7: VISION PLAN ENROLLMENT</t>
  </si>
  <si>
    <t>EXHIBIT 8: VISION FINANCIALS</t>
  </si>
  <si>
    <t>EXHIBIT 9: ANCILLARY PLANS</t>
  </si>
  <si>
    <t>EXHIBIT 10: NET VERMONT SPORTSCAR COST</t>
  </si>
  <si>
    <r>
      <t xml:space="preserve">EXHIBIT 3: MEDICAL PLAN CLAIMS </t>
    </r>
    <r>
      <rPr>
        <b/>
        <sz val="8"/>
        <rFont val="Arial Narrow"/>
        <family val="2"/>
      </rPr>
      <t>(Claims paid by Cigna based on date paid- not incurred)</t>
    </r>
  </si>
  <si>
    <t>Claims Funding</t>
  </si>
  <si>
    <t>Claims over $50K ISL</t>
  </si>
  <si>
    <t>Cumulative Surplus</t>
  </si>
  <si>
    <t>A.</t>
  </si>
  <si>
    <t>B.</t>
  </si>
  <si>
    <t>IBNR Reserve Nov</t>
  </si>
  <si>
    <t>C.</t>
  </si>
  <si>
    <t>IBNR Reserve Dec</t>
  </si>
  <si>
    <t>D. (B+C)</t>
  </si>
  <si>
    <t>Total IBNR Reserve</t>
  </si>
  <si>
    <t>E. (A-D)</t>
  </si>
  <si>
    <t>Balance Due</t>
  </si>
  <si>
    <t>F.</t>
  </si>
  <si>
    <t>G.</t>
  </si>
  <si>
    <t>Surplus Due:</t>
  </si>
  <si>
    <t>* Surplus only paid out if renewing with Cigna for 2021 plan year</t>
  </si>
  <si>
    <t>Cigna Arrangement:</t>
  </si>
  <si>
    <t>All Claims</t>
  </si>
  <si>
    <t>Fixed Costs</t>
  </si>
  <si>
    <t>Gross Medical &amp; Rx Claims</t>
  </si>
  <si>
    <t>Pooled Claims (claims over Spec)</t>
  </si>
  <si>
    <t>From Cigna's Agg Report</t>
  </si>
  <si>
    <t>PEPM</t>
  </si>
  <si>
    <t>PMPM</t>
  </si>
  <si>
    <t>EXHIBIT 1: HEALTH PLAN ENROLLMENT</t>
  </si>
  <si>
    <t>EXHIBIT 2: HEALTH PLAN FIXED COSTS</t>
  </si>
  <si>
    <r>
      <t xml:space="preserve">EXHIBIT 3: HEALTH PLAN CLAIMS </t>
    </r>
    <r>
      <rPr>
        <b/>
        <sz val="8"/>
        <rFont val="Arial Narrow"/>
        <family val="2"/>
      </rPr>
      <t>(Claims paid by Cigna based on date paid- not incurred)</t>
    </r>
  </si>
  <si>
    <t>* Surplus only paid out if renewing with Cigna for 2022 plan year</t>
  </si>
  <si>
    <t>* Surplus only paid out if renewing with Cigna for 2023 plan year</t>
  </si>
  <si>
    <t>Final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</si>
</sst>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\-yy;@"/>
    <numFmt numFmtId="167" formatCode="_(&quot;$&quot;* #,##0_);_(&quot;$&quot;* \(#,##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0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2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38">
    <xf numFmtId="0" fontId="0" fillId="0" borderId="0" xfId="0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20" fillId="0" borderId="0" xfId="38" applyFont="1"/>
    <xf numFmtId="44" fontId="0" fillId="0" borderId="0" xfId="38" applyFont="1"/>
    <xf numFmtId="44" fontId="19" fillId="0" borderId="0" xfId="38" applyFont="1"/>
    <xf numFmtId="0" fontId="23" fillId="25" borderId="0" xfId="0" applyFont="1" applyFill="1" applyAlignment="1">
      <alignment horizontal="center"/>
    </xf>
    <xf numFmtId="0" fontId="24" fillId="25" borderId="0" xfId="0" applyFont="1" applyFill="1"/>
    <xf numFmtId="0" fontId="24" fillId="25" borderId="0" xfId="0" applyFont="1" applyFill="1" applyAlignment="1">
      <alignment horizontal="center"/>
    </xf>
    <xf numFmtId="0" fontId="0" fillId="26" borderId="0" xfId="0" applyFill="1"/>
    <xf numFmtId="44" fontId="0" fillId="26" borderId="0" xfId="0" applyNumberFormat="1" applyFill="1"/>
    <xf numFmtId="0" fontId="22" fillId="27" borderId="0" xfId="0" applyFont="1" applyFill="1" applyAlignment="1">
      <alignment horizontal="center"/>
    </xf>
    <xf numFmtId="0" fontId="0" fillId="27" borderId="0" xfId="0" applyFill="1"/>
    <xf numFmtId="164" fontId="19" fillId="0" borderId="0" xfId="0" applyNumberFormat="1" applyFont="1" applyAlignment="1">
      <alignment horizontal="center"/>
    </xf>
    <xf numFmtId="9" fontId="0" fillId="0" borderId="0" xfId="63" applyFont="1"/>
    <xf numFmtId="9" fontId="19" fillId="0" borderId="0" xfId="63" applyFont="1"/>
    <xf numFmtId="0" fontId="20" fillId="28" borderId="0" xfId="0" applyFont="1" applyFill="1"/>
    <xf numFmtId="0" fontId="0" fillId="28" borderId="0" xfId="0" applyFill="1"/>
    <xf numFmtId="44" fontId="25" fillId="28" borderId="0" xfId="38" applyFont="1" applyFill="1"/>
    <xf numFmtId="0" fontId="20" fillId="29" borderId="0" xfId="0" applyFont="1" applyFill="1"/>
    <xf numFmtId="0" fontId="0" fillId="29" borderId="0" xfId="0" applyFill="1"/>
    <xf numFmtId="44" fontId="25" fillId="29" borderId="0" xfId="38" applyFont="1" applyFill="1"/>
    <xf numFmtId="9" fontId="24" fillId="25" borderId="0" xfId="63" applyFont="1" applyFill="1" applyAlignment="1">
      <alignment horizontal="center"/>
    </xf>
    <xf numFmtId="9" fontId="19" fillId="0" borderId="0" xfId="63" applyFont="1" applyAlignment="1">
      <alignment horizontal="center"/>
    </xf>
    <xf numFmtId="9" fontId="0" fillId="0" borderId="0" xfId="63" applyFont="1" applyAlignment="1">
      <alignment horizontal="center"/>
    </xf>
    <xf numFmtId="9" fontId="20" fillId="0" borderId="0" xfId="63" applyFont="1" applyAlignment="1">
      <alignment horizontal="center"/>
    </xf>
    <xf numFmtId="0" fontId="33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30" borderId="0" xfId="0" applyFont="1" applyFill="1"/>
    <xf numFmtId="0" fontId="0" fillId="30" borderId="0" xfId="0" applyFill="1"/>
    <xf numFmtId="44" fontId="0" fillId="30" borderId="0" xfId="0" applyNumberFormat="1" applyFill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20" fillId="0" borderId="12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0" fillId="0" borderId="12" xfId="0" applyBorder="1"/>
    <xf numFmtId="0" fontId="23" fillId="2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 applyBorder="1"/>
    <xf numFmtId="0" fontId="19" fillId="0" borderId="12" xfId="0" applyFont="1" applyBorder="1"/>
    <xf numFmtId="0" fontId="24" fillId="25" borderId="0" xfId="0" applyFont="1" applyFill="1" applyBorder="1"/>
    <xf numFmtId="0" fontId="19" fillId="0" borderId="0" xfId="0" applyFont="1" applyBorder="1"/>
    <xf numFmtId="0" fontId="22" fillId="27" borderId="0" xfId="0" applyFont="1" applyFill="1" applyBorder="1" applyAlignment="1">
      <alignment horizontal="center"/>
    </xf>
    <xf numFmtId="0" fontId="0" fillId="26" borderId="0" xfId="0" applyFill="1" applyBorder="1"/>
    <xf numFmtId="44" fontId="26" fillId="27" borderId="0" xfId="38" applyFont="1" applyFill="1" applyBorder="1"/>
    <xf numFmtId="44" fontId="26" fillId="26" borderId="0" xfId="38" applyFont="1" applyFill="1" applyBorder="1"/>
    <xf numFmtId="9" fontId="0" fillId="0" borderId="0" xfId="63" applyFont="1" applyBorder="1"/>
    <xf numFmtId="0" fontId="24" fillId="25" borderId="0" xfId="0" applyFont="1" applyFill="1" applyBorder="1" applyAlignment="1">
      <alignment horizontal="center"/>
    </xf>
    <xf numFmtId="9" fontId="19" fillId="0" borderId="0" xfId="63" applyFont="1" applyBorder="1"/>
    <xf numFmtId="44" fontId="20" fillId="0" borderId="0" xfId="38" applyFont="1" applyBorder="1"/>
    <xf numFmtId="44" fontId="0" fillId="0" borderId="0" xfId="38" applyFont="1" applyBorder="1"/>
    <xf numFmtId="44" fontId="19" fillId="0" borderId="0" xfId="38" applyFont="1" applyBorder="1"/>
    <xf numFmtId="164" fontId="19" fillId="0" borderId="0" xfId="0" applyNumberFormat="1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33" fillId="0" borderId="13" xfId="0" applyFont="1" applyBorder="1"/>
    <xf numFmtId="9" fontId="0" fillId="0" borderId="13" xfId="63" applyFont="1" applyBorder="1"/>
    <xf numFmtId="9" fontId="19" fillId="0" borderId="13" xfId="63" applyFont="1" applyBorder="1"/>
    <xf numFmtId="0" fontId="0" fillId="0" borderId="14" xfId="0" applyBorder="1"/>
    <xf numFmtId="0" fontId="0" fillId="0" borderId="17" xfId="0" applyBorder="1" applyAlignment="1">
      <alignment horizontal="left"/>
    </xf>
    <xf numFmtId="0" fontId="22" fillId="0" borderId="0" xfId="0" applyFont="1" applyBorder="1" applyAlignment="1">
      <alignment horizontal="center"/>
    </xf>
    <xf numFmtId="44" fontId="0" fillId="0" borderId="0" xfId="0" applyNumberFormat="1" applyBorder="1"/>
    <xf numFmtId="44" fontId="19" fillId="0" borderId="0" xfId="0" applyNumberFormat="1" applyFont="1" applyBorder="1"/>
    <xf numFmtId="167" fontId="19" fillId="0" borderId="0" xfId="0" applyNumberFormat="1" applyFont="1" applyBorder="1"/>
    <xf numFmtId="165" fontId="29" fillId="0" borderId="15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6" fontId="29" fillId="0" borderId="0" xfId="0" applyNumberFormat="1" applyFont="1" applyFill="1" applyBorder="1" applyAlignment="1">
      <alignment horizontal="center" textRotation="90" wrapText="1"/>
    </xf>
    <xf numFmtId="0" fontId="29" fillId="0" borderId="0" xfId="0" applyFont="1" applyFill="1" applyBorder="1" applyAlignment="1">
      <alignment horizontal="center" textRotation="90"/>
    </xf>
    <xf numFmtId="165" fontId="29" fillId="0" borderId="0" xfId="0" applyNumberFormat="1" applyFont="1" applyFill="1" applyBorder="1" applyAlignment="1">
      <alignment horizontal="center" textRotation="90"/>
    </xf>
    <xf numFmtId="165" fontId="29" fillId="0" borderId="0" xfId="0" applyNumberFormat="1" applyFont="1" applyFill="1" applyBorder="1" applyAlignment="1">
      <alignment horizontal="center" textRotation="90" wrapText="1"/>
    </xf>
    <xf numFmtId="0" fontId="29" fillId="0" borderId="0" xfId="0" applyFont="1" applyFill="1" applyBorder="1" applyAlignment="1">
      <alignment horizontal="center" textRotation="90" wrapText="1"/>
    </xf>
    <xf numFmtId="166" fontId="29" fillId="0" borderId="0" xfId="0" applyNumberFormat="1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6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 textRotation="90"/>
    </xf>
    <xf numFmtId="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6" fontId="29" fillId="0" borderId="15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/>
    </xf>
    <xf numFmtId="165" fontId="29" fillId="0" borderId="0" xfId="0" applyNumberFormat="1" applyFont="1" applyFill="1" applyBorder="1" applyAlignment="1">
      <alignment horizontal="left"/>
    </xf>
    <xf numFmtId="165" fontId="29" fillId="0" borderId="15" xfId="0" applyNumberFormat="1" applyFont="1" applyFill="1" applyBorder="1" applyAlignment="1">
      <alignment horizontal="left"/>
    </xf>
    <xf numFmtId="165" fontId="29" fillId="31" borderId="0" xfId="0" applyNumberFormat="1" applyFont="1" applyFill="1" applyBorder="1" applyAlignment="1">
      <alignment horizontal="center"/>
    </xf>
    <xf numFmtId="165" fontId="29" fillId="31" borderId="15" xfId="0" applyNumberFormat="1" applyFont="1" applyFill="1" applyBorder="1" applyAlignment="1">
      <alignment horizontal="center"/>
    </xf>
    <xf numFmtId="0" fontId="29" fillId="31" borderId="0" xfId="0" applyFont="1" applyFill="1" applyBorder="1" applyAlignment="1">
      <alignment horizontal="center"/>
    </xf>
    <xf numFmtId="6" fontId="29" fillId="31" borderId="0" xfId="0" applyNumberFormat="1" applyFont="1" applyFill="1" applyBorder="1" applyAlignment="1">
      <alignment horizontal="center"/>
    </xf>
    <xf numFmtId="6" fontId="29" fillId="0" borderId="0" xfId="0" applyNumberFormat="1" applyFont="1" applyFill="1" applyBorder="1" applyAlignment="1">
      <alignment horizontal="center" textRotation="90"/>
    </xf>
    <xf numFmtId="1" fontId="29" fillId="0" borderId="12" xfId="0" applyNumberFormat="1" applyFont="1" applyBorder="1" applyAlignment="1">
      <alignment horizontal="center"/>
    </xf>
    <xf numFmtId="1" fontId="29" fillId="0" borderId="0" xfId="0" applyNumberFormat="1" applyFont="1" applyBorder="1" applyAlignment="1">
      <alignment horizontal="center"/>
    </xf>
    <xf numFmtId="1" fontId="29" fillId="0" borderId="13" xfId="0" applyNumberFormat="1" applyFont="1" applyBorder="1" applyAlignment="1">
      <alignment horizontal="center"/>
    </xf>
    <xf numFmtId="6" fontId="29" fillId="0" borderId="17" xfId="0" applyNumberFormat="1" applyFont="1" applyBorder="1" applyAlignment="1">
      <alignment horizontal="center"/>
    </xf>
    <xf numFmtId="6" fontId="29" fillId="0" borderId="10" xfId="0" applyNumberFormat="1" applyFont="1" applyBorder="1" applyAlignment="1">
      <alignment horizontal="center"/>
    </xf>
    <xf numFmtId="6" fontId="29" fillId="0" borderId="11" xfId="0" applyNumberFormat="1" applyFont="1" applyBorder="1" applyAlignment="1">
      <alignment horizontal="center"/>
    </xf>
    <xf numFmtId="6" fontId="29" fillId="0" borderId="12" xfId="0" applyNumberFormat="1" applyFont="1" applyBorder="1" applyAlignment="1">
      <alignment horizontal="center"/>
    </xf>
    <xf numFmtId="6" fontId="29" fillId="0" borderId="13" xfId="0" applyNumberFormat="1" applyFont="1" applyBorder="1" applyAlignment="1">
      <alignment horizontal="center"/>
    </xf>
    <xf numFmtId="0" fontId="30" fillId="31" borderId="0" xfId="0" applyFont="1" applyFill="1" applyBorder="1" applyAlignment="1">
      <alignment vertical="center"/>
    </xf>
    <xf numFmtId="165" fontId="29" fillId="0" borderId="13" xfId="0" applyNumberFormat="1" applyFont="1" applyBorder="1" applyAlignment="1">
      <alignment horizontal="center"/>
    </xf>
    <xf numFmtId="1" fontId="29" fillId="0" borderId="17" xfId="0" applyNumberFormat="1" applyFont="1" applyBorder="1" applyAlignment="1">
      <alignment horizontal="center"/>
    </xf>
    <xf numFmtId="1" fontId="29" fillId="0" borderId="10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165" fontId="29" fillId="0" borderId="10" xfId="0" applyNumberFormat="1" applyFont="1" applyBorder="1" applyAlignment="1">
      <alignment horizontal="center"/>
    </xf>
    <xf numFmtId="9" fontId="29" fillId="0" borderId="11" xfId="63" applyFont="1" applyBorder="1" applyAlignment="1">
      <alignment horizontal="center"/>
    </xf>
    <xf numFmtId="9" fontId="29" fillId="0" borderId="13" xfId="63" applyFont="1" applyBorder="1" applyAlignment="1">
      <alignment horizontal="center"/>
    </xf>
    <xf numFmtId="6" fontId="29" fillId="0" borderId="10" xfId="63" applyNumberFormat="1" applyFont="1" applyBorder="1" applyAlignment="1">
      <alignment horizontal="center"/>
    </xf>
    <xf numFmtId="6" fontId="29" fillId="0" borderId="0" xfId="63" applyNumberFormat="1" applyFont="1" applyBorder="1" applyAlignment="1">
      <alignment horizontal="center"/>
    </xf>
    <xf numFmtId="166" fontId="31" fillId="0" borderId="0" xfId="0" applyNumberFormat="1" applyFont="1" applyBorder="1"/>
    <xf numFmtId="0" fontId="29" fillId="0" borderId="0" xfId="0" applyFont="1" applyBorder="1"/>
    <xf numFmtId="166" fontId="29" fillId="0" borderId="0" xfId="0" applyNumberFormat="1" applyFont="1" applyBorder="1"/>
    <xf numFmtId="166" fontId="30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166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6" fontId="30" fillId="0" borderId="0" xfId="0" applyNumberFormat="1" applyFont="1" applyBorder="1" applyAlignment="1">
      <alignment horizontal="center"/>
    </xf>
    <xf numFmtId="0" fontId="30" fillId="31" borderId="0" xfId="0" applyFont="1" applyFill="1" applyBorder="1" applyAlignment="1">
      <alignment horizontal="center" wrapText="1"/>
    </xf>
    <xf numFmtId="165" fontId="30" fillId="31" borderId="0" xfId="0" applyNumberFormat="1" applyFont="1" applyFill="1" applyBorder="1" applyAlignment="1">
      <alignment horizontal="center" wrapText="1"/>
    </xf>
    <xf numFmtId="0" fontId="30" fillId="0" borderId="0" xfId="0" applyFont="1" applyBorder="1"/>
    <xf numFmtId="165" fontId="30" fillId="0" borderId="0" xfId="0" applyNumberFormat="1" applyFont="1" applyBorder="1" applyAlignment="1">
      <alignment horizontal="center"/>
    </xf>
    <xf numFmtId="9" fontId="30" fillId="0" borderId="0" xfId="63" applyFont="1" applyBorder="1" applyAlignment="1">
      <alignment horizontal="center"/>
    </xf>
    <xf numFmtId="6" fontId="30" fillId="0" borderId="0" xfId="63" applyNumberFormat="1" applyFont="1" applyBorder="1" applyAlignment="1">
      <alignment horizontal="center"/>
    </xf>
    <xf numFmtId="0" fontId="31" fillId="0" borderId="0" xfId="0" applyFont="1" applyBorder="1"/>
    <xf numFmtId="0" fontId="30" fillId="0" borderId="0" xfId="0" applyFont="1" applyFill="1" applyBorder="1" applyAlignment="1">
      <alignment horizontal="center" wrapText="1"/>
    </xf>
    <xf numFmtId="1" fontId="29" fillId="0" borderId="14" xfId="0" applyNumberFormat="1" applyFont="1" applyBorder="1" applyAlignment="1">
      <alignment horizontal="center"/>
    </xf>
    <xf numFmtId="1" fontId="29" fillId="0" borderId="15" xfId="0" applyNumberFormat="1" applyFont="1" applyBorder="1" applyAlignment="1">
      <alignment horizontal="center"/>
    </xf>
    <xf numFmtId="1" fontId="29" fillId="0" borderId="16" xfId="0" applyNumberFormat="1" applyFont="1" applyBorder="1" applyAlignment="1">
      <alignment horizontal="center"/>
    </xf>
    <xf numFmtId="6" fontId="29" fillId="0" borderId="14" xfId="0" applyNumberFormat="1" applyFont="1" applyBorder="1" applyAlignment="1">
      <alignment horizontal="center"/>
    </xf>
    <xf numFmtId="6" fontId="29" fillId="0" borderId="15" xfId="0" applyNumberFormat="1" applyFont="1" applyBorder="1" applyAlignment="1">
      <alignment horizontal="center"/>
    </xf>
    <xf numFmtId="6" fontId="29" fillId="0" borderId="16" xfId="0" applyNumberFormat="1" applyFont="1" applyBorder="1" applyAlignment="1">
      <alignment horizontal="center"/>
    </xf>
    <xf numFmtId="6" fontId="30" fillId="0" borderId="0" xfId="0" applyNumberFormat="1" applyFont="1" applyFill="1" applyBorder="1" applyAlignment="1">
      <alignment horizontal="center"/>
    </xf>
    <xf numFmtId="6" fontId="29" fillId="0" borderId="10" xfId="0" applyNumberFormat="1" applyFont="1" applyFill="1" applyBorder="1" applyAlignment="1">
      <alignment horizontal="center"/>
    </xf>
    <xf numFmtId="165" fontId="30" fillId="0" borderId="0" xfId="0" applyNumberFormat="1" applyFont="1" applyBorder="1" applyAlignment="1"/>
    <xf numFmtId="165" fontId="30" fillId="0" borderId="0" xfId="0" applyNumberFormat="1" applyFont="1" applyFill="1" applyBorder="1" applyAlignment="1">
      <alignment horizontal="center"/>
    </xf>
    <xf numFmtId="165" fontId="29" fillId="0" borderId="15" xfId="0" applyNumberFormat="1" applyFont="1" applyBorder="1" applyAlignment="1">
      <alignment horizontal="center"/>
    </xf>
    <xf numFmtId="164" fontId="34" fillId="0" borderId="10" xfId="0" applyNumberFormat="1" applyFont="1" applyBorder="1" applyAlignment="1">
      <alignment horizontal="left"/>
    </xf>
    <xf numFmtId="164" fontId="34" fillId="0" borderId="0" xfId="0" applyNumberFormat="1" applyFont="1" applyAlignment="1">
      <alignment horizontal="left"/>
    </xf>
    <xf numFmtId="164" fontId="34" fillId="0" borderId="15" xfId="0" applyNumberFormat="1" applyFont="1" applyBorder="1" applyAlignment="1">
      <alignment horizontal="left"/>
    </xf>
    <xf numFmtId="164" fontId="29" fillId="0" borderId="17" xfId="0" applyNumberFormat="1" applyFont="1" applyBorder="1"/>
    <xf numFmtId="165" fontId="29" fillId="0" borderId="11" xfId="0" applyNumberFormat="1" applyFont="1" applyBorder="1" applyAlignment="1">
      <alignment horizontal="center"/>
    </xf>
    <xf numFmtId="164" fontId="29" fillId="0" borderId="12" xfId="0" applyNumberFormat="1" applyFont="1" applyBorder="1"/>
    <xf numFmtId="164" fontId="29" fillId="0" borderId="12" xfId="0" applyNumberFormat="1" applyFont="1" applyBorder="1" applyAlignment="1">
      <alignment horizontal="left"/>
    </xf>
    <xf numFmtId="164" fontId="29" fillId="0" borderId="14" xfId="0" applyNumberFormat="1" applyFont="1" applyBorder="1" applyAlignment="1">
      <alignment horizontal="left"/>
    </xf>
    <xf numFmtId="165" fontId="29" fillId="0" borderId="16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165" fontId="29" fillId="0" borderId="11" xfId="63" applyNumberFormat="1" applyFont="1" applyBorder="1" applyAlignment="1">
      <alignment horizontal="center"/>
    </xf>
    <xf numFmtId="165" fontId="29" fillId="0" borderId="13" xfId="63" applyNumberFormat="1" applyFont="1" applyBorder="1" applyAlignment="1">
      <alignment horizontal="center"/>
    </xf>
    <xf numFmtId="165" fontId="29" fillId="0" borderId="16" xfId="63" applyNumberFormat="1" applyFont="1" applyBorder="1" applyAlignment="1">
      <alignment horizontal="center"/>
    </xf>
    <xf numFmtId="165" fontId="30" fillId="0" borderId="0" xfId="63" applyNumberFormat="1" applyFont="1" applyBorder="1" applyAlignment="1">
      <alignment horizontal="center"/>
    </xf>
    <xf numFmtId="9" fontId="29" fillId="0" borderId="16" xfId="63" applyFont="1" applyBorder="1" applyAlignment="1">
      <alignment horizontal="center"/>
    </xf>
    <xf numFmtId="6" fontId="29" fillId="0" borderId="15" xfId="63" applyNumberFormat="1" applyFont="1" applyBorder="1" applyAlignment="1">
      <alignment horizontal="center"/>
    </xf>
    <xf numFmtId="165" fontId="29" fillId="32" borderId="0" xfId="0" applyNumberFormat="1" applyFont="1" applyFill="1" applyBorder="1" applyAlignment="1">
      <alignment horizontal="center"/>
    </xf>
    <xf numFmtId="165" fontId="29" fillId="32" borderId="15" xfId="0" applyNumberFormat="1" applyFont="1" applyFill="1" applyBorder="1" applyAlignment="1">
      <alignment horizontal="center"/>
    </xf>
    <xf numFmtId="166" fontId="29" fillId="0" borderId="12" xfId="0" applyNumberFormat="1" applyFont="1" applyFill="1" applyBorder="1" applyAlignment="1">
      <alignment horizontal="left"/>
    </xf>
    <xf numFmtId="165" fontId="29" fillId="0" borderId="13" xfId="0" applyNumberFormat="1" applyFont="1" applyFill="1" applyBorder="1" applyAlignment="1">
      <alignment horizontal="center"/>
    </xf>
    <xf numFmtId="166" fontId="29" fillId="0" borderId="14" xfId="0" applyNumberFormat="1" applyFont="1" applyFill="1" applyBorder="1" applyAlignment="1">
      <alignment horizontal="left"/>
    </xf>
    <xf numFmtId="165" fontId="29" fillId="0" borderId="16" xfId="0" applyNumberFormat="1" applyFont="1" applyFill="1" applyBorder="1" applyAlignment="1">
      <alignment horizontal="center"/>
    </xf>
    <xf numFmtId="0" fontId="30" fillId="0" borderId="17" xfId="0" applyFont="1" applyBorder="1" applyAlignment="1">
      <alignment horizontal="center" vertical="center" textRotation="90"/>
    </xf>
    <xf numFmtId="6" fontId="30" fillId="33" borderId="10" xfId="0" applyNumberFormat="1" applyFont="1" applyFill="1" applyBorder="1" applyAlignment="1">
      <alignment horizontal="center" vertical="center" textRotation="90"/>
    </xf>
    <xf numFmtId="0" fontId="30" fillId="33" borderId="10" xfId="0" applyFont="1" applyFill="1" applyBorder="1" applyAlignment="1">
      <alignment horizontal="center" vertical="center" textRotation="90"/>
    </xf>
    <xf numFmtId="165" fontId="30" fillId="33" borderId="10" xfId="0" applyNumberFormat="1" applyFont="1" applyFill="1" applyBorder="1" applyAlignment="1">
      <alignment horizontal="center" vertical="center" textRotation="90"/>
    </xf>
    <xf numFmtId="6" fontId="30" fillId="34" borderId="10" xfId="0" applyNumberFormat="1" applyFont="1" applyFill="1" applyBorder="1" applyAlignment="1">
      <alignment horizontal="center" vertical="center" textRotation="90"/>
    </xf>
    <xf numFmtId="0" fontId="30" fillId="34" borderId="10" xfId="0" applyFont="1" applyFill="1" applyBorder="1" applyAlignment="1">
      <alignment horizontal="center" vertical="center" textRotation="90"/>
    </xf>
    <xf numFmtId="165" fontId="30" fillId="34" borderId="10" xfId="0" applyNumberFormat="1" applyFont="1" applyFill="1" applyBorder="1" applyAlignment="1">
      <alignment horizontal="center" vertical="center" textRotation="90"/>
    </xf>
    <xf numFmtId="6" fontId="30" fillId="35" borderId="10" xfId="0" applyNumberFormat="1" applyFont="1" applyFill="1" applyBorder="1" applyAlignment="1">
      <alignment horizontal="center" vertical="center" textRotation="90"/>
    </xf>
    <xf numFmtId="0" fontId="30" fillId="35" borderId="10" xfId="0" applyFont="1" applyFill="1" applyBorder="1" applyAlignment="1">
      <alignment horizontal="center" vertical="center" textRotation="90"/>
    </xf>
    <xf numFmtId="165" fontId="30" fillId="35" borderId="10" xfId="0" applyNumberFormat="1" applyFont="1" applyFill="1" applyBorder="1" applyAlignment="1">
      <alignment horizontal="center" vertical="center" textRotation="90"/>
    </xf>
    <xf numFmtId="165" fontId="30" fillId="29" borderId="10" xfId="0" applyNumberFormat="1" applyFont="1" applyFill="1" applyBorder="1" applyAlignment="1">
      <alignment horizontal="center" vertical="center" textRotation="90"/>
    </xf>
    <xf numFmtId="165" fontId="30" fillId="29" borderId="11" xfId="0" applyNumberFormat="1" applyFont="1" applyFill="1" applyBorder="1" applyAlignment="1">
      <alignment horizontal="center" vertical="center" textRotation="90"/>
    </xf>
    <xf numFmtId="166" fontId="29" fillId="0" borderId="12" xfId="0" applyNumberFormat="1" applyFont="1" applyFill="1" applyBorder="1" applyAlignment="1">
      <alignment horizontal="center" textRotation="90"/>
    </xf>
    <xf numFmtId="165" fontId="29" fillId="0" borderId="13" xfId="0" applyNumberFormat="1" applyFont="1" applyFill="1" applyBorder="1" applyAlignment="1">
      <alignment horizontal="center" textRotation="90" wrapText="1"/>
    </xf>
    <xf numFmtId="165" fontId="29" fillId="32" borderId="13" xfId="0" applyNumberFormat="1" applyFont="1" applyFill="1" applyBorder="1" applyAlignment="1">
      <alignment horizontal="center"/>
    </xf>
    <xf numFmtId="165" fontId="29" fillId="32" borderId="16" xfId="0" applyNumberFormat="1" applyFont="1" applyFill="1" applyBorder="1" applyAlignment="1">
      <alignment horizontal="center"/>
    </xf>
    <xf numFmtId="165" fontId="29" fillId="31" borderId="13" xfId="0" applyNumberFormat="1" applyFont="1" applyFill="1" applyBorder="1" applyAlignment="1">
      <alignment horizontal="center"/>
    </xf>
    <xf numFmtId="165" fontId="29" fillId="0" borderId="0" xfId="63" applyNumberFormat="1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165" fontId="29" fillId="0" borderId="18" xfId="0" applyNumberFormat="1" applyFont="1" applyBorder="1" applyAlignment="1">
      <alignment horizontal="center"/>
    </xf>
    <xf numFmtId="9" fontId="29" fillId="0" borderId="18" xfId="0" applyNumberFormat="1" applyFont="1" applyBorder="1" applyAlignment="1">
      <alignment horizontal="center"/>
    </xf>
    <xf numFmtId="165" fontId="29" fillId="0" borderId="19" xfId="0" applyNumberFormat="1" applyFont="1" applyBorder="1" applyAlignment="1">
      <alignment horizontal="center"/>
    </xf>
    <xf numFmtId="165" fontId="29" fillId="31" borderId="20" xfId="0" applyNumberFormat="1" applyFont="1" applyFill="1" applyBorder="1" applyAlignment="1">
      <alignment horizontal="center" vertical="center"/>
    </xf>
    <xf numFmtId="0" fontId="29" fillId="31" borderId="18" xfId="0" applyFont="1" applyFill="1" applyBorder="1" applyAlignment="1">
      <alignment horizontal="center" vertical="center"/>
    </xf>
    <xf numFmtId="165" fontId="29" fillId="31" borderId="18" xfId="0" applyNumberFormat="1" applyFont="1" applyFill="1" applyBorder="1" applyAlignment="1">
      <alignment horizontal="center" vertical="center"/>
    </xf>
    <xf numFmtId="165" fontId="29" fillId="0" borderId="10" xfId="63" applyNumberFormat="1" applyFont="1" applyBorder="1" applyAlignment="1">
      <alignment horizontal="center"/>
    </xf>
    <xf numFmtId="165" fontId="29" fillId="0" borderId="15" xfId="63" applyNumberFormat="1" applyFont="1" applyBorder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64" fontId="30" fillId="33" borderId="10" xfId="0" applyNumberFormat="1" applyFont="1" applyFill="1" applyBorder="1" applyAlignment="1">
      <alignment horizontal="center" vertical="center" textRotation="90"/>
    </xf>
    <xf numFmtId="164" fontId="29" fillId="0" borderId="0" xfId="0" applyNumberFormat="1" applyFont="1" applyFill="1" applyBorder="1" applyAlignment="1">
      <alignment horizontal="center" textRotation="90" wrapText="1"/>
    </xf>
    <xf numFmtId="164" fontId="29" fillId="0" borderId="0" xfId="0" applyNumberFormat="1" applyFont="1" applyBorder="1" applyAlignment="1">
      <alignment horizontal="center"/>
    </xf>
    <xf numFmtId="164" fontId="29" fillId="24" borderId="0" xfId="0" applyNumberFormat="1" applyFont="1" applyFill="1" applyBorder="1" applyAlignment="1">
      <alignment horizontal="center"/>
    </xf>
    <xf numFmtId="6" fontId="29" fillId="24" borderId="0" xfId="0" applyNumberFormat="1" applyFont="1" applyFill="1" applyBorder="1" applyAlignment="1">
      <alignment horizontal="center"/>
    </xf>
    <xf numFmtId="6" fontId="29" fillId="24" borderId="15" xfId="0" applyNumberFormat="1" applyFont="1" applyFill="1" applyBorder="1" applyAlignment="1">
      <alignment horizontal="center"/>
    </xf>
    <xf numFmtId="164" fontId="29" fillId="0" borderId="15" xfId="0" applyNumberFormat="1" applyFont="1" applyFill="1" applyBorder="1" applyAlignment="1">
      <alignment horizontal="center"/>
    </xf>
    <xf numFmtId="165" fontId="29" fillId="24" borderId="0" xfId="0" applyNumberFormat="1" applyFont="1" applyFill="1" applyBorder="1" applyAlignment="1">
      <alignment horizontal="center"/>
    </xf>
    <xf numFmtId="165" fontId="29" fillId="24" borderId="15" xfId="0" applyNumberFormat="1" applyFont="1" applyFill="1" applyBorder="1" applyAlignment="1">
      <alignment horizontal="center"/>
    </xf>
    <xf numFmtId="6" fontId="29" fillId="0" borderId="11" xfId="63" applyNumberFormat="1" applyFont="1" applyBorder="1" applyAlignment="1">
      <alignment horizontal="center"/>
    </xf>
    <xf numFmtId="6" fontId="29" fillId="0" borderId="13" xfId="63" applyNumberFormat="1" applyFont="1" applyBorder="1" applyAlignment="1">
      <alignment horizontal="center"/>
    </xf>
    <xf numFmtId="6" fontId="29" fillId="0" borderId="16" xfId="63" applyNumberFormat="1" applyFont="1" applyBorder="1" applyAlignment="1">
      <alignment horizontal="center"/>
    </xf>
    <xf numFmtId="6" fontId="29" fillId="31" borderId="15" xfId="0" applyNumberFormat="1" applyFont="1" applyFill="1" applyBorder="1" applyAlignment="1">
      <alignment horizontal="center"/>
    </xf>
    <xf numFmtId="0" fontId="29" fillId="31" borderId="15" xfId="0" applyFont="1" applyFill="1" applyBorder="1" applyAlignment="1">
      <alignment horizontal="center"/>
    </xf>
    <xf numFmtId="0" fontId="29" fillId="31" borderId="15" xfId="0" applyFont="1" applyFill="1" applyBorder="1" applyAlignment="1">
      <alignment horizontal="center" vertical="center" wrapText="1"/>
    </xf>
    <xf numFmtId="165" fontId="29" fillId="31" borderId="16" xfId="0" applyNumberFormat="1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left"/>
    </xf>
    <xf numFmtId="6" fontId="29" fillId="26" borderId="0" xfId="0" applyNumberFormat="1" applyFont="1" applyFill="1" applyBorder="1" applyAlignment="1">
      <alignment horizontal="center"/>
    </xf>
    <xf numFmtId="0" fontId="29" fillId="26" borderId="0" xfId="0" applyFont="1" applyFill="1" applyBorder="1" applyAlignment="1">
      <alignment horizontal="center"/>
    </xf>
    <xf numFmtId="165" fontId="29" fillId="26" borderId="0" xfId="0" applyNumberFormat="1" applyFont="1" applyFill="1" applyBorder="1" applyAlignment="1">
      <alignment horizontal="center"/>
    </xf>
    <xf numFmtId="6" fontId="29" fillId="0" borderId="20" xfId="0" applyNumberFormat="1" applyFont="1" applyBorder="1" applyAlignment="1">
      <alignment horizontal="center"/>
    </xf>
    <xf numFmtId="6" fontId="29" fillId="0" borderId="18" xfId="0" applyNumberFormat="1" applyFont="1" applyBorder="1" applyAlignment="1">
      <alignment horizontal="center"/>
    </xf>
    <xf numFmtId="6" fontId="29" fillId="0" borderId="19" xfId="0" applyNumberFormat="1" applyFont="1" applyBorder="1" applyAlignment="1">
      <alignment horizontal="center"/>
    </xf>
    <xf numFmtId="6" fontId="29" fillId="0" borderId="20" xfId="0" applyNumberFormat="1" applyFont="1" applyFill="1" applyBorder="1" applyAlignment="1">
      <alignment horizontal="center"/>
    </xf>
    <xf numFmtId="6" fontId="29" fillId="0" borderId="18" xfId="0" applyNumberFormat="1" applyFont="1" applyFill="1" applyBorder="1" applyAlignment="1">
      <alignment horizontal="center"/>
    </xf>
    <xf numFmtId="6" fontId="29" fillId="0" borderId="19" xfId="0" applyNumberFormat="1" applyFont="1" applyFill="1" applyBorder="1" applyAlignment="1">
      <alignment horizontal="center"/>
    </xf>
    <xf numFmtId="165" fontId="29" fillId="0" borderId="20" xfId="0" applyNumberFormat="1" applyFont="1" applyBorder="1" applyAlignment="1">
      <alignment horizontal="center"/>
    </xf>
    <xf numFmtId="165" fontId="30" fillId="31" borderId="15" xfId="0" applyNumberFormat="1" applyFont="1" applyFill="1" applyBorder="1" applyAlignment="1">
      <alignment horizontal="center" wrapText="1"/>
    </xf>
    <xf numFmtId="0" fontId="30" fillId="31" borderId="0" xfId="0" applyFont="1" applyFill="1" applyBorder="1" applyAlignment="1">
      <alignment horizontal="center" vertical="center"/>
    </xf>
    <xf numFmtId="6" fontId="30" fillId="31" borderId="20" xfId="0" applyNumberFormat="1" applyFont="1" applyFill="1" applyBorder="1" applyAlignment="1">
      <alignment horizontal="center" vertical="center"/>
    </xf>
    <xf numFmtId="6" fontId="30" fillId="31" borderId="18" xfId="0" applyNumberFormat="1" applyFont="1" applyFill="1" applyBorder="1" applyAlignment="1">
      <alignment horizontal="center" vertical="center"/>
    </xf>
    <xf numFmtId="0" fontId="29" fillId="0" borderId="18" xfId="0" applyFont="1" applyBorder="1"/>
    <xf numFmtId="165" fontId="29" fillId="26" borderId="21" xfId="0" applyNumberFormat="1" applyFont="1" applyFill="1" applyBorder="1" applyAlignment="1">
      <alignment horizontal="center"/>
    </xf>
    <xf numFmtId="8" fontId="29" fillId="0" borderId="0" xfId="0" applyNumberFormat="1" applyFont="1" applyBorder="1"/>
    <xf numFmtId="164" fontId="29" fillId="0" borderId="0" xfId="0" applyNumberFormat="1" applyFont="1" applyAlignment="1">
      <alignment horizontal="left" vertical="top" wrapText="1"/>
    </xf>
    <xf numFmtId="6" fontId="30" fillId="0" borderId="0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left"/>
    </xf>
    <xf numFmtId="0" fontId="30" fillId="31" borderId="0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horizontal="center" vertical="center" wrapText="1"/>
    </xf>
    <xf numFmtId="8" fontId="30" fillId="0" borderId="0" xfId="0" applyNumberFormat="1" applyFont="1" applyBorder="1" applyAlignment="1">
      <alignment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 xr:uid="{00000000-0005-0000-0000-00001B000000}"/>
    <cellStyle name="Comma 10" xfId="29" xr:uid="{00000000-0005-0000-0000-00001C000000}"/>
    <cellStyle name="Comma 2" xfId="30" xr:uid="{00000000-0005-0000-0000-00001D000000}"/>
    <cellStyle name="Comma 3" xfId="31" xr:uid="{00000000-0005-0000-0000-00001E000000}"/>
    <cellStyle name="Comma 4" xfId="32" xr:uid="{00000000-0005-0000-0000-00001F000000}"/>
    <cellStyle name="Comma 5" xfId="33" xr:uid="{00000000-0005-0000-0000-000020000000}"/>
    <cellStyle name="Comma 6" xfId="34" xr:uid="{00000000-0005-0000-0000-000021000000}"/>
    <cellStyle name="Comma 7" xfId="35" xr:uid="{00000000-0005-0000-0000-000022000000}"/>
    <cellStyle name="Comma 8" xfId="36" xr:uid="{00000000-0005-0000-0000-000023000000}"/>
    <cellStyle name="Comma 9" xfId="37" xr:uid="{00000000-0005-0000-0000-000024000000}"/>
    <cellStyle name="Currency" xfId="38" builtinId="4"/>
    <cellStyle name="Currency [0] 2" xfId="39" xr:uid="{00000000-0005-0000-0000-000026000000}"/>
    <cellStyle name="Currency 10" xfId="40" xr:uid="{00000000-0005-0000-0000-000027000000}"/>
    <cellStyle name="Currency 11" xfId="41" xr:uid="{00000000-0005-0000-0000-000028000000}"/>
    <cellStyle name="Currency 2" xfId="42" xr:uid="{00000000-0005-0000-0000-000029000000}"/>
    <cellStyle name="Currency 3" xfId="43" xr:uid="{00000000-0005-0000-0000-00002A000000}"/>
    <cellStyle name="Currency 4" xfId="44" xr:uid="{00000000-0005-0000-0000-00002B000000}"/>
    <cellStyle name="Currency 5" xfId="45" xr:uid="{00000000-0005-0000-0000-00002C000000}"/>
    <cellStyle name="Currency 6" xfId="46" xr:uid="{00000000-0005-0000-0000-00002D000000}"/>
    <cellStyle name="Currency 7" xfId="47" xr:uid="{00000000-0005-0000-0000-00002E000000}"/>
    <cellStyle name="Currency 8" xfId="48" xr:uid="{00000000-0005-0000-0000-00002F000000}"/>
    <cellStyle name="Currency 9" xfId="49" xr:uid="{00000000-0005-0000-0000-000030000000}"/>
    <cellStyle name="Explanatory Text" xfId="50" builtinId="53" customBuiltin="1"/>
    <cellStyle name="Good" xfId="51" builtinId="26" customBuiltin="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Input" xfId="56" builtinId="20" customBuiltin="1"/>
    <cellStyle name="Linked Cell" xfId="57" builtinId="24" customBuiltin="1"/>
    <cellStyle name="Neutral" xfId="58" builtinId="28" customBuiltin="1"/>
    <cellStyle name="Normal" xfId="0" builtinId="0"/>
    <cellStyle name="Normal 2" xfId="59" xr:uid="{00000000-0005-0000-0000-00003B000000}"/>
    <cellStyle name="Note" xfId="60" builtinId="10" customBuiltin="1"/>
    <cellStyle name="Note 2" xfId="61" xr:uid="{00000000-0005-0000-0000-00003D000000}"/>
    <cellStyle name="Output" xfId="62" builtinId="21" customBuiltin="1"/>
    <cellStyle name="Percent" xfId="63" builtinId="5"/>
    <cellStyle name="Percent 2" xfId="64" xr:uid="{00000000-0005-0000-0000-000040000000}"/>
    <cellStyle name="Percent 3" xfId="65" xr:uid="{00000000-0005-0000-0000-000041000000}"/>
    <cellStyle name="Title" xfId="66" builtinId="15" customBuiltin="1"/>
    <cellStyle name="Total" xfId="67" builtinId="25" customBuiltin="1"/>
    <cellStyle name="Warning Text" xfId="68" builtinId="11" customBuiltin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9F7E2"/>
      <rgbColor rgb="00FFFF99"/>
      <rgbColor rgb="0099CCFF"/>
      <rgbColor rgb="00FF99CC"/>
      <rgbColor rgb="00CC99FF"/>
      <rgbColor rgb="00FFCC99"/>
      <rgbColor rgb="003366FF"/>
      <rgbColor rgb="0033CCCC"/>
      <rgbColor rgb="00BACE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E237E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97"/>
  <sheetViews>
    <sheetView showGridLines="0" zoomScale="110" zoomScaleNormal="110" workbookViewId="0">
      <pane ySplit="2" topLeftCell="A45" activePane="bottomLeft" state="frozen"/>
      <selection pane="bottomLeft" activeCell="CF56" sqref="CD56:CF56"/>
    </sheetView>
  </sheetViews>
  <sheetFormatPr defaultColWidth="8.85546875" defaultRowHeight="12.75" x14ac:dyDescent="0.2"/>
  <cols>
    <col min="1" max="1" width="6.28515625" style="81" bestFit="1" customWidth="1"/>
    <col min="2" max="2" width="8.140625" style="84" bestFit="1" customWidth="1"/>
    <col min="3" max="3" width="10.7109375" style="84" customWidth="1"/>
    <col min="4" max="4" width="7.7109375" style="84" customWidth="1"/>
    <col min="5" max="5" width="7.140625" style="84" customWidth="1"/>
    <col min="6" max="6" width="4.85546875" style="83" customWidth="1"/>
    <col min="7" max="8" width="3.5703125" style="83" customWidth="1"/>
    <col min="9" max="13" width="4.42578125" style="83" customWidth="1"/>
    <col min="14" max="14" width="3.5703125" style="83" customWidth="1"/>
    <col min="15" max="18" width="4.42578125" style="83" customWidth="1"/>
    <col min="19" max="19" width="4.5703125" style="83" customWidth="1"/>
    <col min="20" max="20" width="5.28515625" style="83" customWidth="1"/>
    <col min="21" max="21" width="5.85546875" style="83" customWidth="1"/>
    <col min="22" max="25" width="3.28515625" style="82" bestFit="1" customWidth="1"/>
    <col min="26" max="26" width="3.5703125" style="82" customWidth="1"/>
    <col min="27" max="27" width="4" style="82" customWidth="1"/>
    <col min="28" max="28" width="9.28515625" style="200" customWidth="1"/>
    <col min="29" max="29" width="6.5703125" style="200" customWidth="1"/>
    <col min="30" max="33" width="5.7109375" style="84" customWidth="1"/>
    <col min="34" max="34" width="8.42578125" style="84" customWidth="1"/>
    <col min="35" max="35" width="5.140625" style="83" customWidth="1"/>
    <col min="36" max="38" width="6.42578125" style="83" customWidth="1"/>
    <col min="39" max="42" width="3.5703125" style="83" customWidth="1"/>
    <col min="43" max="43" width="6.85546875" style="84" bestFit="1" customWidth="1"/>
    <col min="44" max="47" width="3.28515625" style="82" bestFit="1" customWidth="1"/>
    <col min="48" max="48" width="4" style="82" customWidth="1"/>
    <col min="49" max="50" width="3.7109375" style="83" customWidth="1"/>
    <col min="51" max="52" width="4.5703125" style="83" customWidth="1"/>
    <col min="53" max="53" width="7.28515625" style="83" bestFit="1" customWidth="1"/>
    <col min="54" max="54" width="6.7109375" style="83" customWidth="1"/>
    <col min="55" max="55" width="6.85546875" style="84" bestFit="1" customWidth="1"/>
    <col min="56" max="56" width="5.7109375" style="83" customWidth="1"/>
    <col min="57" max="58" width="3.5703125" style="83" customWidth="1"/>
    <col min="59" max="59" width="4.5703125" style="83" customWidth="1"/>
    <col min="60" max="60" width="4.42578125" style="83" customWidth="1"/>
    <col min="61" max="64" width="4.7109375" style="83" customWidth="1"/>
    <col min="65" max="65" width="5" style="84" bestFit="1" customWidth="1"/>
    <col min="66" max="69" width="3.28515625" style="82" bestFit="1" customWidth="1"/>
    <col min="70" max="70" width="4.42578125" style="83" customWidth="1"/>
    <col min="71" max="71" width="6.42578125" style="84" customWidth="1"/>
    <col min="72" max="72" width="5.140625" style="84" bestFit="1" customWidth="1"/>
    <col min="73" max="73" width="3.28515625" style="82" customWidth="1"/>
    <col min="74" max="74" width="3.28515625" style="83" customWidth="1"/>
    <col min="75" max="77" width="3.5703125" style="83" customWidth="1"/>
    <col min="78" max="78" width="3.85546875" style="83" customWidth="1"/>
    <col min="79" max="81" width="4.7109375" style="83" customWidth="1"/>
    <col min="82" max="82" width="4.5703125" style="83" bestFit="1" customWidth="1"/>
    <col min="83" max="84" width="5.85546875" style="83" bestFit="1" customWidth="1"/>
    <col min="85" max="16384" width="8.85546875" style="82"/>
  </cols>
  <sheetData>
    <row r="1" spans="1:84" s="85" customFormat="1" ht="52.5" x14ac:dyDescent="0.2">
      <c r="A1" s="170"/>
      <c r="B1" s="171" t="s">
        <v>34</v>
      </c>
      <c r="C1" s="171" t="s">
        <v>34</v>
      </c>
      <c r="D1" s="171" t="s">
        <v>34</v>
      </c>
      <c r="E1" s="171" t="s">
        <v>34</v>
      </c>
      <c r="F1" s="172" t="s">
        <v>34</v>
      </c>
      <c r="G1" s="172" t="s">
        <v>34</v>
      </c>
      <c r="H1" s="172" t="s">
        <v>34</v>
      </c>
      <c r="I1" s="172" t="s">
        <v>34</v>
      </c>
      <c r="J1" s="172" t="s">
        <v>34</v>
      </c>
      <c r="K1" s="172" t="s">
        <v>34</v>
      </c>
      <c r="L1" s="172" t="s">
        <v>34</v>
      </c>
      <c r="M1" s="172" t="s">
        <v>34</v>
      </c>
      <c r="N1" s="172" t="s">
        <v>34</v>
      </c>
      <c r="O1" s="172" t="s">
        <v>34</v>
      </c>
      <c r="P1" s="172" t="s">
        <v>34</v>
      </c>
      <c r="Q1" s="172" t="s">
        <v>34</v>
      </c>
      <c r="R1" s="172" t="s">
        <v>34</v>
      </c>
      <c r="S1" s="172" t="s">
        <v>34</v>
      </c>
      <c r="T1" s="172" t="s">
        <v>34</v>
      </c>
      <c r="U1" s="172" t="s">
        <v>34</v>
      </c>
      <c r="V1" s="172" t="s">
        <v>34</v>
      </c>
      <c r="W1" s="172" t="s">
        <v>34</v>
      </c>
      <c r="X1" s="172" t="s">
        <v>34</v>
      </c>
      <c r="Y1" s="172" t="s">
        <v>34</v>
      </c>
      <c r="Z1" s="172" t="s">
        <v>34</v>
      </c>
      <c r="AA1" s="172" t="s">
        <v>34</v>
      </c>
      <c r="AB1" s="198" t="s">
        <v>144</v>
      </c>
      <c r="AC1" s="198" t="s">
        <v>145</v>
      </c>
      <c r="AD1" s="171" t="s">
        <v>34</v>
      </c>
      <c r="AE1" s="171" t="s">
        <v>34</v>
      </c>
      <c r="AF1" s="171" t="s">
        <v>34</v>
      </c>
      <c r="AG1" s="171" t="s">
        <v>34</v>
      </c>
      <c r="AH1" s="171" t="s">
        <v>34</v>
      </c>
      <c r="AI1" s="173" t="s">
        <v>34</v>
      </c>
      <c r="AJ1" s="173" t="s">
        <v>34</v>
      </c>
      <c r="AK1" s="173" t="s">
        <v>34</v>
      </c>
      <c r="AL1" s="173" t="s">
        <v>34</v>
      </c>
      <c r="AM1" s="173" t="s">
        <v>34</v>
      </c>
      <c r="AN1" s="173" t="s">
        <v>34</v>
      </c>
      <c r="AO1" s="173" t="s">
        <v>34</v>
      </c>
      <c r="AP1" s="173" t="s">
        <v>34</v>
      </c>
      <c r="AQ1" s="174" t="s">
        <v>37</v>
      </c>
      <c r="AR1" s="175" t="s">
        <v>37</v>
      </c>
      <c r="AS1" s="175" t="s">
        <v>37</v>
      </c>
      <c r="AT1" s="175" t="s">
        <v>37</v>
      </c>
      <c r="AU1" s="175" t="s">
        <v>37</v>
      </c>
      <c r="AV1" s="175" t="s">
        <v>37</v>
      </c>
      <c r="AW1" s="176" t="s">
        <v>37</v>
      </c>
      <c r="AX1" s="176" t="s">
        <v>37</v>
      </c>
      <c r="AY1" s="176" t="s">
        <v>37</v>
      </c>
      <c r="AZ1" s="175" t="s">
        <v>37</v>
      </c>
      <c r="BA1" s="175"/>
      <c r="BB1" s="176" t="s">
        <v>37</v>
      </c>
      <c r="BC1" s="174" t="s">
        <v>37</v>
      </c>
      <c r="BD1" s="176" t="s">
        <v>37</v>
      </c>
      <c r="BE1" s="176" t="s">
        <v>37</v>
      </c>
      <c r="BF1" s="176" t="s">
        <v>37</v>
      </c>
      <c r="BG1" s="176" t="s">
        <v>37</v>
      </c>
      <c r="BH1" s="176" t="s">
        <v>37</v>
      </c>
      <c r="BI1" s="176" t="s">
        <v>37</v>
      </c>
      <c r="BJ1" s="176" t="s">
        <v>37</v>
      </c>
      <c r="BK1" s="176" t="s">
        <v>37</v>
      </c>
      <c r="BL1" s="176" t="s">
        <v>37</v>
      </c>
      <c r="BM1" s="177" t="s">
        <v>38</v>
      </c>
      <c r="BN1" s="178" t="s">
        <v>38</v>
      </c>
      <c r="BO1" s="178" t="s">
        <v>38</v>
      </c>
      <c r="BP1" s="178" t="s">
        <v>38</v>
      </c>
      <c r="BQ1" s="178" t="s">
        <v>38</v>
      </c>
      <c r="BR1" s="179" t="s">
        <v>38</v>
      </c>
      <c r="BS1" s="177" t="s">
        <v>38</v>
      </c>
      <c r="BT1" s="177" t="s">
        <v>38</v>
      </c>
      <c r="BU1" s="178" t="s">
        <v>38</v>
      </c>
      <c r="BV1" s="179" t="s">
        <v>38</v>
      </c>
      <c r="BW1" s="179" t="s">
        <v>38</v>
      </c>
      <c r="BX1" s="179" t="s">
        <v>38</v>
      </c>
      <c r="BY1" s="179" t="s">
        <v>38</v>
      </c>
      <c r="BZ1" s="179" t="s">
        <v>38</v>
      </c>
      <c r="CA1" s="179" t="s">
        <v>38</v>
      </c>
      <c r="CB1" s="179" t="s">
        <v>38</v>
      </c>
      <c r="CC1" s="179" t="s">
        <v>38</v>
      </c>
      <c r="CD1" s="180" t="s">
        <v>39</v>
      </c>
      <c r="CE1" s="180" t="s">
        <v>39</v>
      </c>
      <c r="CF1" s="181" t="s">
        <v>39</v>
      </c>
    </row>
    <row r="2" spans="1:84" s="77" customFormat="1" ht="123.75" customHeight="1" x14ac:dyDescent="0.2">
      <c r="A2" s="182" t="s">
        <v>33</v>
      </c>
      <c r="B2" s="100" t="s">
        <v>139</v>
      </c>
      <c r="C2" s="100" t="s">
        <v>142</v>
      </c>
      <c r="D2" s="100" t="s">
        <v>140</v>
      </c>
      <c r="E2" s="100" t="s">
        <v>122</v>
      </c>
      <c r="F2" s="79" t="s">
        <v>57</v>
      </c>
      <c r="G2" s="79" t="s">
        <v>58</v>
      </c>
      <c r="H2" s="79" t="s">
        <v>59</v>
      </c>
      <c r="I2" s="79" t="s">
        <v>60</v>
      </c>
      <c r="J2" s="79" t="s">
        <v>71</v>
      </c>
      <c r="K2" s="79" t="s">
        <v>72</v>
      </c>
      <c r="L2" s="79" t="s">
        <v>73</v>
      </c>
      <c r="M2" s="79" t="s">
        <v>74</v>
      </c>
      <c r="N2" s="79" t="s">
        <v>75</v>
      </c>
      <c r="O2" s="79" t="s">
        <v>76</v>
      </c>
      <c r="P2" s="79" t="s">
        <v>77</v>
      </c>
      <c r="Q2" s="79" t="s">
        <v>78</v>
      </c>
      <c r="R2" s="79" t="s">
        <v>53</v>
      </c>
      <c r="S2" s="79" t="s">
        <v>54</v>
      </c>
      <c r="T2" s="79" t="s">
        <v>55</v>
      </c>
      <c r="U2" s="79" t="s">
        <v>56</v>
      </c>
      <c r="V2" s="77" t="s">
        <v>49</v>
      </c>
      <c r="W2" s="77" t="s">
        <v>50</v>
      </c>
      <c r="X2" s="77" t="s">
        <v>51</v>
      </c>
      <c r="Y2" s="77" t="s">
        <v>52</v>
      </c>
      <c r="Z2" s="80" t="s">
        <v>35</v>
      </c>
      <c r="AA2" s="80" t="s">
        <v>36</v>
      </c>
      <c r="AB2" s="199" t="s">
        <v>144</v>
      </c>
      <c r="AC2" s="199" t="s">
        <v>145</v>
      </c>
      <c r="AD2" s="100" t="s">
        <v>44</v>
      </c>
      <c r="AE2" s="100" t="s">
        <v>45</v>
      </c>
      <c r="AF2" s="100" t="s">
        <v>46</v>
      </c>
      <c r="AG2" s="100" t="s">
        <v>47</v>
      </c>
      <c r="AH2" s="76" t="s">
        <v>48</v>
      </c>
      <c r="AI2" s="78" t="s">
        <v>40</v>
      </c>
      <c r="AJ2" s="78" t="s">
        <v>41</v>
      </c>
      <c r="AK2" s="78" t="s">
        <v>42</v>
      </c>
      <c r="AL2" s="78" t="s">
        <v>43</v>
      </c>
      <c r="AM2" s="78" t="s">
        <v>61</v>
      </c>
      <c r="AN2" s="78" t="s">
        <v>62</v>
      </c>
      <c r="AO2" s="78" t="s">
        <v>63</v>
      </c>
      <c r="AP2" s="78" t="s">
        <v>64</v>
      </c>
      <c r="AQ2" s="100" t="s">
        <v>94</v>
      </c>
      <c r="AR2" s="77" t="s">
        <v>49</v>
      </c>
      <c r="AS2" s="77" t="s">
        <v>50</v>
      </c>
      <c r="AT2" s="77" t="s">
        <v>51</v>
      </c>
      <c r="AU2" s="77" t="s">
        <v>52</v>
      </c>
      <c r="AV2" s="80" t="s">
        <v>35</v>
      </c>
      <c r="AW2" s="79" t="s">
        <v>53</v>
      </c>
      <c r="AX2" s="79" t="s">
        <v>54</v>
      </c>
      <c r="AY2" s="79" t="s">
        <v>55</v>
      </c>
      <c r="AZ2" s="79" t="s">
        <v>56</v>
      </c>
      <c r="BA2" s="79" t="s">
        <v>122</v>
      </c>
      <c r="BB2" s="78" t="s">
        <v>99</v>
      </c>
      <c r="BC2" s="100" t="s">
        <v>100</v>
      </c>
      <c r="BD2" s="78" t="s">
        <v>101</v>
      </c>
      <c r="BE2" s="78" t="s">
        <v>65</v>
      </c>
      <c r="BF2" s="78" t="s">
        <v>66</v>
      </c>
      <c r="BG2" s="78" t="s">
        <v>67</v>
      </c>
      <c r="BH2" s="78" t="s">
        <v>68</v>
      </c>
      <c r="BI2" s="78" t="s">
        <v>69</v>
      </c>
      <c r="BJ2" s="78" t="s">
        <v>45</v>
      </c>
      <c r="BK2" s="78" t="s">
        <v>46</v>
      </c>
      <c r="BL2" s="78" t="s">
        <v>47</v>
      </c>
      <c r="BM2" s="100" t="s">
        <v>95</v>
      </c>
      <c r="BN2" s="77" t="s">
        <v>49</v>
      </c>
      <c r="BO2" s="77" t="s">
        <v>50</v>
      </c>
      <c r="BP2" s="77" t="s">
        <v>51</v>
      </c>
      <c r="BQ2" s="77" t="s">
        <v>52</v>
      </c>
      <c r="BR2" s="78" t="s">
        <v>103</v>
      </c>
      <c r="BS2" s="100" t="s">
        <v>104</v>
      </c>
      <c r="BT2" s="100" t="s">
        <v>105</v>
      </c>
      <c r="BU2" s="80" t="s">
        <v>35</v>
      </c>
      <c r="BV2" s="78" t="s">
        <v>65</v>
      </c>
      <c r="BW2" s="78" t="s">
        <v>66</v>
      </c>
      <c r="BX2" s="78" t="s">
        <v>67</v>
      </c>
      <c r="BY2" s="78" t="s">
        <v>68</v>
      </c>
      <c r="BZ2" s="78" t="s">
        <v>69</v>
      </c>
      <c r="CA2" s="78" t="s">
        <v>45</v>
      </c>
      <c r="CB2" s="78" t="s">
        <v>46</v>
      </c>
      <c r="CC2" s="78" t="s">
        <v>47</v>
      </c>
      <c r="CD2" s="79" t="s">
        <v>70</v>
      </c>
      <c r="CE2" s="79" t="s">
        <v>31</v>
      </c>
      <c r="CF2" s="183" t="s">
        <v>32</v>
      </c>
    </row>
    <row r="3" spans="1:84" s="87" customFormat="1" ht="12" customHeight="1" x14ac:dyDescent="0.2">
      <c r="A3" s="166">
        <v>43101</v>
      </c>
      <c r="B3" s="86">
        <v>629.38</v>
      </c>
      <c r="C3" s="202"/>
      <c r="D3" s="202"/>
      <c r="E3" s="202"/>
      <c r="F3" s="88">
        <v>32.950000000000003</v>
      </c>
      <c r="G3" s="88">
        <v>65.989999999999995</v>
      </c>
      <c r="H3" s="88">
        <v>63.68</v>
      </c>
      <c r="I3" s="88">
        <v>92.76</v>
      </c>
      <c r="J3" s="88">
        <v>103.32</v>
      </c>
      <c r="K3" s="88">
        <v>207.56</v>
      </c>
      <c r="L3" s="88">
        <v>200.25</v>
      </c>
      <c r="M3" s="88">
        <v>292</v>
      </c>
      <c r="N3" s="88">
        <v>48.02</v>
      </c>
      <c r="O3" s="88">
        <v>96.46</v>
      </c>
      <c r="P3" s="88">
        <v>93.06</v>
      </c>
      <c r="Q3" s="88">
        <v>135.69999999999999</v>
      </c>
      <c r="R3" s="88">
        <v>317.42</v>
      </c>
      <c r="S3" s="88">
        <v>637.84</v>
      </c>
      <c r="T3" s="88">
        <v>615.44000000000005</v>
      </c>
      <c r="U3" s="88">
        <v>897.39</v>
      </c>
      <c r="V3" s="87">
        <v>18</v>
      </c>
      <c r="W3" s="87">
        <v>6</v>
      </c>
      <c r="X3" s="87">
        <v>2</v>
      </c>
      <c r="Y3" s="87">
        <v>9</v>
      </c>
      <c r="Z3" s="87">
        <f t="shared" ref="Z3:Z11" si="0">SUM(V3:Y3)</f>
        <v>35</v>
      </c>
      <c r="AA3" s="87">
        <v>68</v>
      </c>
      <c r="AB3" s="201"/>
      <c r="AC3" s="201"/>
      <c r="AD3" s="86">
        <v>0</v>
      </c>
      <c r="AE3" s="86">
        <v>0</v>
      </c>
      <c r="AF3" s="86">
        <v>0</v>
      </c>
      <c r="AG3" s="86">
        <v>0</v>
      </c>
      <c r="AH3" s="86">
        <f t="shared" ref="AH3:AH14" si="1">SUMPRODUCT(AI3:AL3,AD3:AG3)</f>
        <v>0</v>
      </c>
      <c r="AI3" s="88">
        <v>501.71</v>
      </c>
      <c r="AJ3" s="88">
        <v>1007.84</v>
      </c>
      <c r="AK3" s="88">
        <v>972.43</v>
      </c>
      <c r="AL3" s="94">
        <v>1417.85</v>
      </c>
      <c r="AM3" s="88">
        <f t="shared" ref="AM3:AP26" si="2">720/12</f>
        <v>60</v>
      </c>
      <c r="AN3" s="88">
        <f t="shared" si="2"/>
        <v>60</v>
      </c>
      <c r="AO3" s="88">
        <f t="shared" si="2"/>
        <v>60</v>
      </c>
      <c r="AP3" s="88">
        <f t="shared" si="2"/>
        <v>60</v>
      </c>
      <c r="AQ3" s="86">
        <v>695.14</v>
      </c>
      <c r="AR3" s="89">
        <v>20</v>
      </c>
      <c r="AS3" s="89">
        <v>5</v>
      </c>
      <c r="AT3" s="90">
        <v>2</v>
      </c>
      <c r="AU3" s="90">
        <v>8</v>
      </c>
      <c r="AV3" s="90">
        <f t="shared" ref="AV3:AV11" si="3">SUM(AR3:AU3)</f>
        <v>35</v>
      </c>
      <c r="AW3" s="205"/>
      <c r="AX3" s="205"/>
      <c r="AY3" s="205"/>
      <c r="AZ3" s="205"/>
      <c r="BA3" s="205"/>
      <c r="BB3" s="88">
        <f t="shared" ref="BB3:BB50" si="4">SUMPRODUCT(BE3:BH3,AR3:AU3)</f>
        <v>2374.7799999999997</v>
      </c>
      <c r="BC3" s="86">
        <f t="shared" ref="BC3:BC50" si="5">SUMPRODUCT(AR3:AU3,BI3:BL3)</f>
        <v>0</v>
      </c>
      <c r="BD3" s="88">
        <f t="shared" ref="BD3:BD26" si="6">BB3+BC3</f>
        <v>2374.7799999999997</v>
      </c>
      <c r="BE3" s="88">
        <v>35.520000000000003</v>
      </c>
      <c r="BF3" s="88">
        <v>70.459999999999994</v>
      </c>
      <c r="BG3" s="88">
        <v>92.52</v>
      </c>
      <c r="BH3" s="88">
        <v>140.88</v>
      </c>
      <c r="BI3" s="88">
        <v>0</v>
      </c>
      <c r="BJ3" s="88">
        <v>0</v>
      </c>
      <c r="BK3" s="88">
        <v>0</v>
      </c>
      <c r="BL3" s="88">
        <v>0</v>
      </c>
      <c r="BM3" s="86">
        <v>0</v>
      </c>
      <c r="BN3" s="89">
        <v>18</v>
      </c>
      <c r="BO3" s="89">
        <v>5</v>
      </c>
      <c r="BP3" s="90">
        <v>2</v>
      </c>
      <c r="BQ3" s="90">
        <v>8</v>
      </c>
      <c r="BR3" s="88">
        <f t="shared" ref="BR3:BR62" si="7">SUMPRODUCT(BN3:BQ3,BV3:BY3)</f>
        <v>329.08000000000004</v>
      </c>
      <c r="BS3" s="86">
        <f t="shared" ref="BS3:BS50" si="8">SUMPRODUCT(BN3:BQ3,BZ3:CC3)</f>
        <v>0</v>
      </c>
      <c r="BT3" s="86">
        <f t="shared" ref="BT3:BT26" si="9">BR3+BS3</f>
        <v>329.08000000000004</v>
      </c>
      <c r="BU3" s="90">
        <f t="shared" ref="BU3:BU11" si="10">SUM(BN3:BQ3)</f>
        <v>33</v>
      </c>
      <c r="BV3" s="88">
        <f>1.76+4.41</f>
        <v>6.17</v>
      </c>
      <c r="BW3" s="88">
        <f>2.4+8.82</f>
        <v>11.22</v>
      </c>
      <c r="BX3" s="88">
        <f>2.41+8.91</f>
        <v>11.32</v>
      </c>
      <c r="BY3" s="88">
        <f>3.19+14.22</f>
        <v>17.41</v>
      </c>
      <c r="BZ3" s="88">
        <v>0</v>
      </c>
      <c r="CA3" s="88">
        <v>0</v>
      </c>
      <c r="CB3" s="88">
        <v>0</v>
      </c>
      <c r="CC3" s="88">
        <v>0</v>
      </c>
      <c r="CD3" s="164"/>
      <c r="CE3" s="164"/>
      <c r="CF3" s="184"/>
    </row>
    <row r="4" spans="1:84" s="87" customFormat="1" ht="12" customHeight="1" x14ac:dyDescent="0.2">
      <c r="A4" s="166">
        <f t="shared" ref="A4:A62" si="11">31+A3</f>
        <v>43132</v>
      </c>
      <c r="B4" s="86">
        <v>10795.07</v>
      </c>
      <c r="C4" s="202"/>
      <c r="D4" s="202"/>
      <c r="E4" s="202"/>
      <c r="F4" s="88">
        <v>32.950000000000003</v>
      </c>
      <c r="G4" s="88">
        <v>65.989999999999995</v>
      </c>
      <c r="H4" s="88">
        <v>63.68</v>
      </c>
      <c r="I4" s="88">
        <v>92.76</v>
      </c>
      <c r="J4" s="88">
        <v>103.32</v>
      </c>
      <c r="K4" s="88">
        <v>207.56</v>
      </c>
      <c r="L4" s="88">
        <v>200.25</v>
      </c>
      <c r="M4" s="88">
        <v>292</v>
      </c>
      <c r="N4" s="88">
        <v>48.02</v>
      </c>
      <c r="O4" s="88">
        <v>96.46</v>
      </c>
      <c r="P4" s="88">
        <v>93.06</v>
      </c>
      <c r="Q4" s="88">
        <v>135.69999999999999</v>
      </c>
      <c r="R4" s="88">
        <v>317.42</v>
      </c>
      <c r="S4" s="88">
        <v>637.84</v>
      </c>
      <c r="T4" s="88">
        <v>615.44000000000005</v>
      </c>
      <c r="U4" s="88">
        <v>897.39</v>
      </c>
      <c r="V4" s="87">
        <v>18</v>
      </c>
      <c r="W4" s="87">
        <v>6</v>
      </c>
      <c r="X4" s="87">
        <v>2</v>
      </c>
      <c r="Y4" s="87">
        <v>9</v>
      </c>
      <c r="Z4" s="87">
        <f t="shared" si="0"/>
        <v>35</v>
      </c>
      <c r="AA4" s="87">
        <v>68</v>
      </c>
      <c r="AB4" s="201"/>
      <c r="AC4" s="201"/>
      <c r="AD4" s="86">
        <v>0</v>
      </c>
      <c r="AE4" s="86">
        <v>0</v>
      </c>
      <c r="AF4" s="86">
        <v>0</v>
      </c>
      <c r="AG4" s="86">
        <v>0</v>
      </c>
      <c r="AH4" s="86">
        <f t="shared" si="1"/>
        <v>0</v>
      </c>
      <c r="AI4" s="88">
        <v>501.71</v>
      </c>
      <c r="AJ4" s="88">
        <v>1007.84</v>
      </c>
      <c r="AK4" s="88">
        <v>972.43</v>
      </c>
      <c r="AL4" s="94">
        <v>1417.85</v>
      </c>
      <c r="AM4" s="88">
        <f t="shared" si="2"/>
        <v>60</v>
      </c>
      <c r="AN4" s="88">
        <f t="shared" si="2"/>
        <v>60</v>
      </c>
      <c r="AO4" s="88">
        <f t="shared" si="2"/>
        <v>60</v>
      </c>
      <c r="AP4" s="88">
        <f t="shared" si="2"/>
        <v>60</v>
      </c>
      <c r="AQ4" s="86">
        <v>1584.4</v>
      </c>
      <c r="AR4" s="89">
        <v>20</v>
      </c>
      <c r="AS4" s="89">
        <v>5</v>
      </c>
      <c r="AT4" s="90">
        <v>2</v>
      </c>
      <c r="AU4" s="90">
        <v>8</v>
      </c>
      <c r="AV4" s="90">
        <f t="shared" si="3"/>
        <v>35</v>
      </c>
      <c r="AW4" s="205"/>
      <c r="AX4" s="205"/>
      <c r="AY4" s="205"/>
      <c r="AZ4" s="205"/>
      <c r="BA4" s="205"/>
      <c r="BB4" s="88">
        <f t="shared" si="4"/>
        <v>2374.7799999999997</v>
      </c>
      <c r="BC4" s="86">
        <f t="shared" si="5"/>
        <v>0</v>
      </c>
      <c r="BD4" s="88">
        <f t="shared" si="6"/>
        <v>2374.7799999999997</v>
      </c>
      <c r="BE4" s="88">
        <v>35.520000000000003</v>
      </c>
      <c r="BF4" s="88">
        <v>70.459999999999994</v>
      </c>
      <c r="BG4" s="88">
        <v>92.52</v>
      </c>
      <c r="BH4" s="88">
        <v>140.88</v>
      </c>
      <c r="BI4" s="88">
        <v>0</v>
      </c>
      <c r="BJ4" s="88">
        <v>0</v>
      </c>
      <c r="BK4" s="88">
        <v>0</v>
      </c>
      <c r="BL4" s="88">
        <v>0</v>
      </c>
      <c r="BM4" s="86">
        <v>0</v>
      </c>
      <c r="BN4" s="89">
        <v>18</v>
      </c>
      <c r="BO4" s="89">
        <v>5</v>
      </c>
      <c r="BP4" s="90">
        <v>2</v>
      </c>
      <c r="BQ4" s="90">
        <v>8</v>
      </c>
      <c r="BR4" s="88">
        <f t="shared" si="7"/>
        <v>329.08000000000004</v>
      </c>
      <c r="BS4" s="86">
        <f t="shared" si="8"/>
        <v>0</v>
      </c>
      <c r="BT4" s="86">
        <f t="shared" si="9"/>
        <v>329.08000000000004</v>
      </c>
      <c r="BU4" s="90">
        <f t="shared" si="10"/>
        <v>33</v>
      </c>
      <c r="BV4" s="88">
        <f t="shared" ref="BV4:BV14" si="12">1.76+4.41</f>
        <v>6.17</v>
      </c>
      <c r="BW4" s="88">
        <f t="shared" ref="BW4:BW14" si="13">2.4+8.82</f>
        <v>11.22</v>
      </c>
      <c r="BX4" s="88">
        <f t="shared" ref="BX4:BX14" si="14">2.41+8.91</f>
        <v>11.32</v>
      </c>
      <c r="BY4" s="88">
        <f t="shared" ref="BY4:BY14" si="15">3.19+14.22</f>
        <v>17.41</v>
      </c>
      <c r="BZ4" s="88">
        <v>0</v>
      </c>
      <c r="CA4" s="88">
        <v>0</v>
      </c>
      <c r="CB4" s="88">
        <v>0</v>
      </c>
      <c r="CC4" s="88">
        <v>0</v>
      </c>
      <c r="CD4" s="164"/>
      <c r="CE4" s="164"/>
      <c r="CF4" s="184"/>
    </row>
    <row r="5" spans="1:84" s="87" customFormat="1" ht="12" customHeight="1" x14ac:dyDescent="0.2">
      <c r="A5" s="166">
        <f t="shared" si="11"/>
        <v>43163</v>
      </c>
      <c r="B5" s="86">
        <v>8429.86</v>
      </c>
      <c r="C5" s="202"/>
      <c r="D5" s="202"/>
      <c r="E5" s="202"/>
      <c r="F5" s="88">
        <v>32.950000000000003</v>
      </c>
      <c r="G5" s="88">
        <v>65.989999999999995</v>
      </c>
      <c r="H5" s="88">
        <v>63.68</v>
      </c>
      <c r="I5" s="88">
        <v>92.76</v>
      </c>
      <c r="J5" s="88">
        <v>103.32</v>
      </c>
      <c r="K5" s="88">
        <v>207.56</v>
      </c>
      <c r="L5" s="88">
        <v>200.25</v>
      </c>
      <c r="M5" s="88">
        <v>292</v>
      </c>
      <c r="N5" s="88">
        <v>48.02</v>
      </c>
      <c r="O5" s="88">
        <v>96.46</v>
      </c>
      <c r="P5" s="88">
        <v>93.06</v>
      </c>
      <c r="Q5" s="88">
        <v>135.69999999999999</v>
      </c>
      <c r="R5" s="88">
        <v>317.42</v>
      </c>
      <c r="S5" s="88">
        <v>637.84</v>
      </c>
      <c r="T5" s="88">
        <v>615.44000000000005</v>
      </c>
      <c r="U5" s="88">
        <v>897.39</v>
      </c>
      <c r="V5" s="87">
        <v>18</v>
      </c>
      <c r="W5" s="87">
        <v>5</v>
      </c>
      <c r="X5" s="87">
        <v>2</v>
      </c>
      <c r="Y5" s="87">
        <v>10</v>
      </c>
      <c r="Z5" s="87">
        <f t="shared" si="0"/>
        <v>35</v>
      </c>
      <c r="AA5" s="87">
        <v>68</v>
      </c>
      <c r="AB5" s="197">
        <f>(SUMPRODUCT(F5:I5,V5:Y5)+SUMPRODUCT(J5:M5,V5:Y5)+SUMPRODUCT(N5:Q5,V5:Y5)+SUMPRODUCT(R5:U5,V5:Y5))/Z3</f>
        <v>862.66828571428573</v>
      </c>
      <c r="AC5" s="197">
        <f>(SUMPRODUCT(F5:I5,V5:Y5)+SUMPRODUCT(J5:M5,V5:Y5)+SUMPRODUCT(N5:Q5,V5:Y5)+SUMPRODUCT(R5:U5,V5:Y5))/AA3</f>
        <v>444.02044117647057</v>
      </c>
      <c r="AD5" s="86">
        <v>0</v>
      </c>
      <c r="AE5" s="86">
        <v>0</v>
      </c>
      <c r="AF5" s="86">
        <v>0</v>
      </c>
      <c r="AG5" s="86">
        <v>0</v>
      </c>
      <c r="AH5" s="86">
        <f t="shared" si="1"/>
        <v>0</v>
      </c>
      <c r="AI5" s="88">
        <v>501.71</v>
      </c>
      <c r="AJ5" s="88">
        <v>1007.84</v>
      </c>
      <c r="AK5" s="88">
        <v>972.43</v>
      </c>
      <c r="AL5" s="94">
        <v>1417.85</v>
      </c>
      <c r="AM5" s="88">
        <f t="shared" si="2"/>
        <v>60</v>
      </c>
      <c r="AN5" s="88">
        <f t="shared" si="2"/>
        <v>60</v>
      </c>
      <c r="AO5" s="88">
        <f t="shared" si="2"/>
        <v>60</v>
      </c>
      <c r="AP5" s="88">
        <f t="shared" si="2"/>
        <v>60</v>
      </c>
      <c r="AQ5" s="86">
        <v>2865.05</v>
      </c>
      <c r="AR5" s="89">
        <v>20</v>
      </c>
      <c r="AS5" s="89">
        <v>5</v>
      </c>
      <c r="AT5" s="90">
        <v>2</v>
      </c>
      <c r="AU5" s="90">
        <v>8</v>
      </c>
      <c r="AV5" s="90">
        <f t="shared" si="3"/>
        <v>35</v>
      </c>
      <c r="AW5" s="205"/>
      <c r="AX5" s="205"/>
      <c r="AY5" s="205"/>
      <c r="AZ5" s="205"/>
      <c r="BA5" s="205"/>
      <c r="BB5" s="88">
        <f t="shared" si="4"/>
        <v>2374.7799999999997</v>
      </c>
      <c r="BC5" s="86">
        <f t="shared" si="5"/>
        <v>0</v>
      </c>
      <c r="BD5" s="88">
        <f t="shared" si="6"/>
        <v>2374.7799999999997</v>
      </c>
      <c r="BE5" s="88">
        <v>35.520000000000003</v>
      </c>
      <c r="BF5" s="88">
        <v>70.459999999999994</v>
      </c>
      <c r="BG5" s="88">
        <v>92.52</v>
      </c>
      <c r="BH5" s="88">
        <v>140.88</v>
      </c>
      <c r="BI5" s="88">
        <v>0</v>
      </c>
      <c r="BJ5" s="88">
        <v>0</v>
      </c>
      <c r="BK5" s="88">
        <v>0</v>
      </c>
      <c r="BL5" s="88">
        <v>0</v>
      </c>
      <c r="BM5" s="86">
        <v>762.99</v>
      </c>
      <c r="BN5" s="89">
        <v>18</v>
      </c>
      <c r="BO5" s="89">
        <v>5</v>
      </c>
      <c r="BP5" s="90">
        <v>2</v>
      </c>
      <c r="BQ5" s="90">
        <v>8</v>
      </c>
      <c r="BR5" s="88">
        <f t="shared" si="7"/>
        <v>329.08000000000004</v>
      </c>
      <c r="BS5" s="86">
        <f t="shared" si="8"/>
        <v>0</v>
      </c>
      <c r="BT5" s="86">
        <f t="shared" si="9"/>
        <v>329.08000000000004</v>
      </c>
      <c r="BU5" s="90">
        <f t="shared" si="10"/>
        <v>33</v>
      </c>
      <c r="BV5" s="88">
        <f t="shared" si="12"/>
        <v>6.17</v>
      </c>
      <c r="BW5" s="88">
        <f t="shared" si="13"/>
        <v>11.22</v>
      </c>
      <c r="BX5" s="88">
        <f t="shared" si="14"/>
        <v>11.32</v>
      </c>
      <c r="BY5" s="88">
        <f t="shared" si="15"/>
        <v>17.41</v>
      </c>
      <c r="BZ5" s="88">
        <v>0</v>
      </c>
      <c r="CA5" s="88">
        <v>0</v>
      </c>
      <c r="CB5" s="88">
        <v>0</v>
      </c>
      <c r="CC5" s="88">
        <v>0</v>
      </c>
      <c r="CD5" s="164"/>
      <c r="CE5" s="164"/>
      <c r="CF5" s="184"/>
    </row>
    <row r="6" spans="1:84" s="87" customFormat="1" ht="12" customHeight="1" x14ac:dyDescent="0.2">
      <c r="A6" s="166">
        <f t="shared" si="11"/>
        <v>43194</v>
      </c>
      <c r="B6" s="86">
        <v>8186.23</v>
      </c>
      <c r="C6" s="202"/>
      <c r="D6" s="202"/>
      <c r="E6" s="202"/>
      <c r="F6" s="88">
        <v>32.950000000000003</v>
      </c>
      <c r="G6" s="88">
        <v>65.989999999999995</v>
      </c>
      <c r="H6" s="88">
        <v>63.68</v>
      </c>
      <c r="I6" s="88">
        <v>92.76</v>
      </c>
      <c r="J6" s="88">
        <v>103.32</v>
      </c>
      <c r="K6" s="88">
        <v>207.56</v>
      </c>
      <c r="L6" s="88">
        <v>200.25</v>
      </c>
      <c r="M6" s="88">
        <v>292</v>
      </c>
      <c r="N6" s="88">
        <v>48.02</v>
      </c>
      <c r="O6" s="88">
        <v>96.46</v>
      </c>
      <c r="P6" s="88">
        <v>93.06</v>
      </c>
      <c r="Q6" s="88">
        <v>135.69999999999999</v>
      </c>
      <c r="R6" s="88">
        <v>317.42</v>
      </c>
      <c r="S6" s="88">
        <v>637.84</v>
      </c>
      <c r="T6" s="88">
        <v>615.44000000000005</v>
      </c>
      <c r="U6" s="88">
        <v>897.39</v>
      </c>
      <c r="V6" s="87">
        <v>19</v>
      </c>
      <c r="W6" s="87">
        <v>5</v>
      </c>
      <c r="X6" s="87">
        <v>2</v>
      </c>
      <c r="Y6" s="87">
        <v>11</v>
      </c>
      <c r="Z6" s="87">
        <f t="shared" si="0"/>
        <v>37</v>
      </c>
      <c r="AA6" s="87">
        <v>68</v>
      </c>
      <c r="AB6" s="197">
        <f t="shared" ref="AB6:AB62" si="16">(SUMPRODUCT(F6:I6,V6:Y6)+SUMPRODUCT(J6:M6,V6:Y6)+SUMPRODUCT(N6:Q6,V6:Y6)+SUMPRODUCT(R6:U6,V6:Y6))/Z4</f>
        <v>917.51285714285711</v>
      </c>
      <c r="AC6" s="197">
        <f t="shared" ref="AC6:AC62" si="17">(SUMPRODUCT(F6:I6,V6:Y6)+SUMPRODUCT(J6:M6,V6:Y6)+SUMPRODUCT(N6:Q6,V6:Y6)+SUMPRODUCT(R6:U6,V6:Y6))/AA4</f>
        <v>472.2492647058823</v>
      </c>
      <c r="AD6" s="86">
        <v>0</v>
      </c>
      <c r="AE6" s="86">
        <v>0</v>
      </c>
      <c r="AF6" s="86">
        <v>0</v>
      </c>
      <c r="AG6" s="86">
        <v>0</v>
      </c>
      <c r="AH6" s="86">
        <f t="shared" si="1"/>
        <v>0</v>
      </c>
      <c r="AI6" s="88">
        <v>501.71</v>
      </c>
      <c r="AJ6" s="88">
        <v>1007.84</v>
      </c>
      <c r="AK6" s="88">
        <v>972.43</v>
      </c>
      <c r="AL6" s="94">
        <v>1417.85</v>
      </c>
      <c r="AM6" s="88">
        <f t="shared" si="2"/>
        <v>60</v>
      </c>
      <c r="AN6" s="88">
        <f t="shared" si="2"/>
        <v>60</v>
      </c>
      <c r="AO6" s="88">
        <f t="shared" si="2"/>
        <v>60</v>
      </c>
      <c r="AP6" s="88">
        <f t="shared" si="2"/>
        <v>60</v>
      </c>
      <c r="AQ6" s="86">
        <v>1110.4000000000001</v>
      </c>
      <c r="AR6" s="89">
        <v>21</v>
      </c>
      <c r="AS6" s="89">
        <v>5</v>
      </c>
      <c r="AT6" s="90">
        <v>2</v>
      </c>
      <c r="AU6" s="90">
        <v>9</v>
      </c>
      <c r="AV6" s="90">
        <f t="shared" si="3"/>
        <v>37</v>
      </c>
      <c r="AW6" s="205"/>
      <c r="AX6" s="205"/>
      <c r="AY6" s="205"/>
      <c r="AZ6" s="205"/>
      <c r="BA6" s="205"/>
      <c r="BB6" s="88">
        <f t="shared" si="4"/>
        <v>2551.1800000000003</v>
      </c>
      <c r="BC6" s="86">
        <f t="shared" si="5"/>
        <v>0</v>
      </c>
      <c r="BD6" s="88">
        <f t="shared" si="6"/>
        <v>2551.1800000000003</v>
      </c>
      <c r="BE6" s="88">
        <v>35.520000000000003</v>
      </c>
      <c r="BF6" s="88">
        <v>70.459999999999994</v>
      </c>
      <c r="BG6" s="88">
        <v>92.52</v>
      </c>
      <c r="BH6" s="88">
        <v>140.88</v>
      </c>
      <c r="BI6" s="88">
        <v>0</v>
      </c>
      <c r="BJ6" s="88">
        <v>0</v>
      </c>
      <c r="BK6" s="88">
        <v>0</v>
      </c>
      <c r="BL6" s="88">
        <v>0</v>
      </c>
      <c r="BM6" s="86">
        <v>0</v>
      </c>
      <c r="BN6" s="89">
        <v>19</v>
      </c>
      <c r="BO6" s="89">
        <v>5</v>
      </c>
      <c r="BP6" s="90">
        <v>2</v>
      </c>
      <c r="BQ6" s="90">
        <v>9</v>
      </c>
      <c r="BR6" s="88">
        <f t="shared" si="7"/>
        <v>352.66</v>
      </c>
      <c r="BS6" s="86">
        <f t="shared" si="8"/>
        <v>0</v>
      </c>
      <c r="BT6" s="86">
        <f t="shared" si="9"/>
        <v>352.66</v>
      </c>
      <c r="BU6" s="90">
        <f t="shared" si="10"/>
        <v>35</v>
      </c>
      <c r="BV6" s="88">
        <f t="shared" si="12"/>
        <v>6.17</v>
      </c>
      <c r="BW6" s="88">
        <f t="shared" si="13"/>
        <v>11.22</v>
      </c>
      <c r="BX6" s="88">
        <f t="shared" si="14"/>
        <v>11.32</v>
      </c>
      <c r="BY6" s="88">
        <f t="shared" si="15"/>
        <v>17.41</v>
      </c>
      <c r="BZ6" s="88">
        <v>0</v>
      </c>
      <c r="CA6" s="88">
        <v>0</v>
      </c>
      <c r="CB6" s="88">
        <v>0</v>
      </c>
      <c r="CC6" s="88">
        <v>0</v>
      </c>
      <c r="CD6" s="164"/>
      <c r="CE6" s="164"/>
      <c r="CF6" s="184"/>
    </row>
    <row r="7" spans="1:84" s="87" customFormat="1" ht="12" customHeight="1" x14ac:dyDescent="0.2">
      <c r="A7" s="166">
        <f t="shared" si="11"/>
        <v>43225</v>
      </c>
      <c r="B7" s="86">
        <v>7695.95</v>
      </c>
      <c r="C7" s="202"/>
      <c r="D7" s="202"/>
      <c r="E7" s="202"/>
      <c r="F7" s="88">
        <v>32.950000000000003</v>
      </c>
      <c r="G7" s="88">
        <v>65.989999999999995</v>
      </c>
      <c r="H7" s="88">
        <v>63.68</v>
      </c>
      <c r="I7" s="88">
        <v>92.76</v>
      </c>
      <c r="J7" s="88">
        <v>103.32</v>
      </c>
      <c r="K7" s="88">
        <v>207.56</v>
      </c>
      <c r="L7" s="88">
        <v>200.25</v>
      </c>
      <c r="M7" s="88">
        <v>292</v>
      </c>
      <c r="N7" s="88">
        <v>48.02</v>
      </c>
      <c r="O7" s="88">
        <v>96.46</v>
      </c>
      <c r="P7" s="88">
        <v>93.06</v>
      </c>
      <c r="Q7" s="88">
        <v>135.69999999999999</v>
      </c>
      <c r="R7" s="88">
        <v>317.42</v>
      </c>
      <c r="S7" s="88">
        <v>637.84</v>
      </c>
      <c r="T7" s="88">
        <v>615.44000000000005</v>
      </c>
      <c r="U7" s="88">
        <v>897.39</v>
      </c>
      <c r="V7" s="87">
        <v>19</v>
      </c>
      <c r="W7" s="87">
        <v>5</v>
      </c>
      <c r="X7" s="87">
        <v>1</v>
      </c>
      <c r="Y7" s="87">
        <v>11</v>
      </c>
      <c r="Z7" s="87">
        <f t="shared" si="0"/>
        <v>36</v>
      </c>
      <c r="AA7" s="87">
        <v>68</v>
      </c>
      <c r="AB7" s="197">
        <f t="shared" si="16"/>
        <v>889.72914285714285</v>
      </c>
      <c r="AC7" s="197">
        <f t="shared" si="17"/>
        <v>457.94882352941175</v>
      </c>
      <c r="AD7" s="86">
        <v>0</v>
      </c>
      <c r="AE7" s="86">
        <v>0</v>
      </c>
      <c r="AF7" s="86">
        <v>0</v>
      </c>
      <c r="AG7" s="86">
        <v>0</v>
      </c>
      <c r="AH7" s="86">
        <f t="shared" si="1"/>
        <v>0</v>
      </c>
      <c r="AI7" s="88">
        <v>501.71</v>
      </c>
      <c r="AJ7" s="88">
        <v>1007.84</v>
      </c>
      <c r="AK7" s="88">
        <v>972.43</v>
      </c>
      <c r="AL7" s="94">
        <v>1417.85</v>
      </c>
      <c r="AM7" s="88">
        <f t="shared" si="2"/>
        <v>60</v>
      </c>
      <c r="AN7" s="88">
        <f t="shared" si="2"/>
        <v>60</v>
      </c>
      <c r="AO7" s="88">
        <f t="shared" si="2"/>
        <v>60</v>
      </c>
      <c r="AP7" s="88">
        <f t="shared" si="2"/>
        <v>60</v>
      </c>
      <c r="AQ7" s="86">
        <v>760</v>
      </c>
      <c r="AR7" s="89">
        <v>21</v>
      </c>
      <c r="AS7" s="89">
        <v>5</v>
      </c>
      <c r="AT7" s="90">
        <v>1</v>
      </c>
      <c r="AU7" s="90">
        <v>9</v>
      </c>
      <c r="AV7" s="90">
        <f t="shared" si="3"/>
        <v>36</v>
      </c>
      <c r="AW7" s="205"/>
      <c r="AX7" s="205"/>
      <c r="AY7" s="205"/>
      <c r="AZ7" s="205"/>
      <c r="BA7" s="205"/>
      <c r="BB7" s="88">
        <f t="shared" si="4"/>
        <v>2458.66</v>
      </c>
      <c r="BC7" s="86">
        <f t="shared" si="5"/>
        <v>0</v>
      </c>
      <c r="BD7" s="88">
        <f t="shared" si="6"/>
        <v>2458.66</v>
      </c>
      <c r="BE7" s="88">
        <v>35.520000000000003</v>
      </c>
      <c r="BF7" s="88">
        <v>70.459999999999994</v>
      </c>
      <c r="BG7" s="88">
        <v>92.52</v>
      </c>
      <c r="BH7" s="88">
        <v>140.88</v>
      </c>
      <c r="BI7" s="88">
        <v>0</v>
      </c>
      <c r="BJ7" s="88">
        <v>0</v>
      </c>
      <c r="BK7" s="88">
        <v>0</v>
      </c>
      <c r="BL7" s="88">
        <v>0</v>
      </c>
      <c r="BM7" s="86">
        <v>53.75</v>
      </c>
      <c r="BN7" s="89">
        <v>19</v>
      </c>
      <c r="BO7" s="89">
        <v>5</v>
      </c>
      <c r="BP7" s="90">
        <v>1</v>
      </c>
      <c r="BQ7" s="90">
        <v>9</v>
      </c>
      <c r="BR7" s="88">
        <f t="shared" si="7"/>
        <v>341.34000000000003</v>
      </c>
      <c r="BS7" s="86">
        <f t="shared" si="8"/>
        <v>0</v>
      </c>
      <c r="BT7" s="86">
        <f t="shared" si="9"/>
        <v>341.34000000000003</v>
      </c>
      <c r="BU7" s="90">
        <f t="shared" si="10"/>
        <v>34</v>
      </c>
      <c r="BV7" s="88">
        <f t="shared" si="12"/>
        <v>6.17</v>
      </c>
      <c r="BW7" s="88">
        <f t="shared" si="13"/>
        <v>11.22</v>
      </c>
      <c r="BX7" s="88">
        <f t="shared" si="14"/>
        <v>11.32</v>
      </c>
      <c r="BY7" s="88">
        <f t="shared" si="15"/>
        <v>17.41</v>
      </c>
      <c r="BZ7" s="88">
        <v>0</v>
      </c>
      <c r="CA7" s="88">
        <v>0</v>
      </c>
      <c r="CB7" s="88">
        <v>0</v>
      </c>
      <c r="CC7" s="88">
        <v>0</v>
      </c>
      <c r="CD7" s="164"/>
      <c r="CE7" s="164"/>
      <c r="CF7" s="184"/>
    </row>
    <row r="8" spans="1:84" s="87" customFormat="1" ht="12" customHeight="1" x14ac:dyDescent="0.2">
      <c r="A8" s="166">
        <f t="shared" si="11"/>
        <v>43256</v>
      </c>
      <c r="B8" s="86">
        <v>9414.3799999999992</v>
      </c>
      <c r="C8" s="202"/>
      <c r="D8" s="202"/>
      <c r="E8" s="202"/>
      <c r="F8" s="88">
        <v>32.950000000000003</v>
      </c>
      <c r="G8" s="88">
        <v>65.989999999999995</v>
      </c>
      <c r="H8" s="88">
        <v>63.68</v>
      </c>
      <c r="I8" s="88">
        <v>92.76</v>
      </c>
      <c r="J8" s="88">
        <v>103.32</v>
      </c>
      <c r="K8" s="88">
        <v>207.56</v>
      </c>
      <c r="L8" s="88">
        <v>200.25</v>
      </c>
      <c r="M8" s="88">
        <v>292</v>
      </c>
      <c r="N8" s="88">
        <v>48.02</v>
      </c>
      <c r="O8" s="88">
        <v>96.46</v>
      </c>
      <c r="P8" s="88">
        <v>93.06</v>
      </c>
      <c r="Q8" s="88">
        <v>135.69999999999999</v>
      </c>
      <c r="R8" s="88">
        <v>317.42</v>
      </c>
      <c r="S8" s="88">
        <v>637.84</v>
      </c>
      <c r="T8" s="88">
        <v>615.44000000000005</v>
      </c>
      <c r="U8" s="88">
        <v>897.39</v>
      </c>
      <c r="V8" s="87">
        <v>19</v>
      </c>
      <c r="W8" s="87">
        <v>5</v>
      </c>
      <c r="X8" s="87">
        <v>1</v>
      </c>
      <c r="Y8" s="87">
        <v>11</v>
      </c>
      <c r="Z8" s="87">
        <f t="shared" si="0"/>
        <v>36</v>
      </c>
      <c r="AA8" s="87">
        <v>68</v>
      </c>
      <c r="AB8" s="197">
        <f t="shared" si="16"/>
        <v>841.63567567567566</v>
      </c>
      <c r="AC8" s="197">
        <f t="shared" si="17"/>
        <v>457.94882352941175</v>
      </c>
      <c r="AD8" s="86">
        <v>0</v>
      </c>
      <c r="AE8" s="86">
        <v>0</v>
      </c>
      <c r="AF8" s="86">
        <v>0</v>
      </c>
      <c r="AG8" s="86">
        <v>0</v>
      </c>
      <c r="AH8" s="86">
        <f t="shared" si="1"/>
        <v>0</v>
      </c>
      <c r="AI8" s="88">
        <v>501.71</v>
      </c>
      <c r="AJ8" s="88">
        <v>1007.84</v>
      </c>
      <c r="AK8" s="88">
        <v>972.43</v>
      </c>
      <c r="AL8" s="94">
        <v>1417.85</v>
      </c>
      <c r="AM8" s="88">
        <f t="shared" si="2"/>
        <v>60</v>
      </c>
      <c r="AN8" s="88">
        <f t="shared" si="2"/>
        <v>60</v>
      </c>
      <c r="AO8" s="88">
        <f t="shared" si="2"/>
        <v>60</v>
      </c>
      <c r="AP8" s="88">
        <f t="shared" si="2"/>
        <v>60</v>
      </c>
      <c r="AQ8" s="86">
        <v>682.2</v>
      </c>
      <c r="AR8" s="89">
        <v>21</v>
      </c>
      <c r="AS8" s="89">
        <v>5</v>
      </c>
      <c r="AT8" s="90">
        <v>1</v>
      </c>
      <c r="AU8" s="90">
        <v>9</v>
      </c>
      <c r="AV8" s="90">
        <f t="shared" si="3"/>
        <v>36</v>
      </c>
      <c r="AW8" s="205"/>
      <c r="AX8" s="205"/>
      <c r="AY8" s="205"/>
      <c r="AZ8" s="205"/>
      <c r="BA8" s="205"/>
      <c r="BB8" s="88">
        <f t="shared" si="4"/>
        <v>2458.66</v>
      </c>
      <c r="BC8" s="86">
        <f t="shared" si="5"/>
        <v>0</v>
      </c>
      <c r="BD8" s="88">
        <f t="shared" si="6"/>
        <v>2458.66</v>
      </c>
      <c r="BE8" s="88">
        <v>35.520000000000003</v>
      </c>
      <c r="BF8" s="88">
        <v>70.459999999999994</v>
      </c>
      <c r="BG8" s="88">
        <v>92.52</v>
      </c>
      <c r="BH8" s="88">
        <v>140.88</v>
      </c>
      <c r="BI8" s="88">
        <v>0</v>
      </c>
      <c r="BJ8" s="88">
        <v>0</v>
      </c>
      <c r="BK8" s="88">
        <v>0</v>
      </c>
      <c r="BL8" s="88">
        <v>0</v>
      </c>
      <c r="BM8" s="86">
        <v>0</v>
      </c>
      <c r="BN8" s="89">
        <v>19</v>
      </c>
      <c r="BO8" s="89">
        <v>5</v>
      </c>
      <c r="BP8" s="90">
        <v>1</v>
      </c>
      <c r="BQ8" s="90">
        <v>9</v>
      </c>
      <c r="BR8" s="88">
        <f t="shared" si="7"/>
        <v>341.34000000000003</v>
      </c>
      <c r="BS8" s="86">
        <f t="shared" si="8"/>
        <v>0</v>
      </c>
      <c r="BT8" s="86">
        <f t="shared" si="9"/>
        <v>341.34000000000003</v>
      </c>
      <c r="BU8" s="90">
        <f t="shared" si="10"/>
        <v>34</v>
      </c>
      <c r="BV8" s="88">
        <f t="shared" si="12"/>
        <v>6.17</v>
      </c>
      <c r="BW8" s="88">
        <f t="shared" si="13"/>
        <v>11.22</v>
      </c>
      <c r="BX8" s="88">
        <f t="shared" si="14"/>
        <v>11.32</v>
      </c>
      <c r="BY8" s="88">
        <f t="shared" si="15"/>
        <v>17.41</v>
      </c>
      <c r="BZ8" s="88">
        <v>0</v>
      </c>
      <c r="CA8" s="88">
        <v>0</v>
      </c>
      <c r="CB8" s="88">
        <v>0</v>
      </c>
      <c r="CC8" s="88">
        <v>0</v>
      </c>
      <c r="CD8" s="164"/>
      <c r="CE8" s="164"/>
      <c r="CF8" s="184"/>
    </row>
    <row r="9" spans="1:84" s="87" customFormat="1" ht="12" customHeight="1" x14ac:dyDescent="0.2">
      <c r="A9" s="166">
        <f t="shared" si="11"/>
        <v>43287</v>
      </c>
      <c r="B9" s="86">
        <v>3064.93</v>
      </c>
      <c r="C9" s="202"/>
      <c r="D9" s="202"/>
      <c r="E9" s="202"/>
      <c r="F9" s="88">
        <v>32.950000000000003</v>
      </c>
      <c r="G9" s="88">
        <v>65.989999999999995</v>
      </c>
      <c r="H9" s="88">
        <v>63.68</v>
      </c>
      <c r="I9" s="88">
        <v>92.76</v>
      </c>
      <c r="J9" s="88">
        <v>103.32</v>
      </c>
      <c r="K9" s="88">
        <v>207.56</v>
      </c>
      <c r="L9" s="88">
        <v>200.25</v>
      </c>
      <c r="M9" s="88">
        <v>292</v>
      </c>
      <c r="N9" s="88">
        <v>48.02</v>
      </c>
      <c r="O9" s="88">
        <v>96.46</v>
      </c>
      <c r="P9" s="88">
        <v>93.06</v>
      </c>
      <c r="Q9" s="88">
        <v>135.69999999999999</v>
      </c>
      <c r="R9" s="88">
        <v>317.42</v>
      </c>
      <c r="S9" s="88">
        <v>637.84</v>
      </c>
      <c r="T9" s="88">
        <v>615.44000000000005</v>
      </c>
      <c r="U9" s="88">
        <v>897.39</v>
      </c>
      <c r="V9" s="87">
        <v>20</v>
      </c>
      <c r="W9" s="87">
        <v>5</v>
      </c>
      <c r="X9" s="87">
        <v>1</v>
      </c>
      <c r="Y9" s="87">
        <v>11</v>
      </c>
      <c r="Z9" s="87">
        <f t="shared" si="0"/>
        <v>37</v>
      </c>
      <c r="AA9" s="87">
        <v>68</v>
      </c>
      <c r="AB9" s="197">
        <f t="shared" si="16"/>
        <v>878.95083333333343</v>
      </c>
      <c r="AC9" s="197">
        <f t="shared" si="17"/>
        <v>465.32691176470593</v>
      </c>
      <c r="AD9" s="86">
        <v>0</v>
      </c>
      <c r="AE9" s="86">
        <v>0</v>
      </c>
      <c r="AF9" s="86">
        <v>0</v>
      </c>
      <c r="AG9" s="86">
        <v>0</v>
      </c>
      <c r="AH9" s="86">
        <f t="shared" si="1"/>
        <v>0</v>
      </c>
      <c r="AI9" s="88">
        <v>501.71</v>
      </c>
      <c r="AJ9" s="88">
        <v>1007.84</v>
      </c>
      <c r="AK9" s="88">
        <v>972.43</v>
      </c>
      <c r="AL9" s="94">
        <v>1417.85</v>
      </c>
      <c r="AM9" s="88">
        <f t="shared" si="2"/>
        <v>60</v>
      </c>
      <c r="AN9" s="88">
        <f t="shared" si="2"/>
        <v>60</v>
      </c>
      <c r="AO9" s="88">
        <f t="shared" si="2"/>
        <v>60</v>
      </c>
      <c r="AP9" s="88">
        <f t="shared" si="2"/>
        <v>60</v>
      </c>
      <c r="AQ9" s="86">
        <v>1352.74</v>
      </c>
      <c r="AR9" s="89">
        <v>22</v>
      </c>
      <c r="AS9" s="89">
        <v>5</v>
      </c>
      <c r="AT9" s="90">
        <v>1</v>
      </c>
      <c r="AU9" s="90">
        <v>9</v>
      </c>
      <c r="AV9" s="90">
        <f t="shared" si="3"/>
        <v>37</v>
      </c>
      <c r="AW9" s="205"/>
      <c r="AX9" s="205"/>
      <c r="AY9" s="205"/>
      <c r="AZ9" s="205"/>
      <c r="BA9" s="205"/>
      <c r="BB9" s="88">
        <f t="shared" si="4"/>
        <v>2494.1800000000003</v>
      </c>
      <c r="BC9" s="86">
        <f t="shared" si="5"/>
        <v>0</v>
      </c>
      <c r="BD9" s="88">
        <f t="shared" si="6"/>
        <v>2494.1800000000003</v>
      </c>
      <c r="BE9" s="88">
        <v>35.520000000000003</v>
      </c>
      <c r="BF9" s="88">
        <v>70.459999999999994</v>
      </c>
      <c r="BG9" s="88">
        <v>92.52</v>
      </c>
      <c r="BH9" s="88">
        <v>140.88</v>
      </c>
      <c r="BI9" s="88">
        <v>0</v>
      </c>
      <c r="BJ9" s="88">
        <v>0</v>
      </c>
      <c r="BK9" s="88">
        <v>0</v>
      </c>
      <c r="BL9" s="88">
        <v>0</v>
      </c>
      <c r="BM9" s="86">
        <v>0</v>
      </c>
      <c r="BN9" s="89">
        <v>20</v>
      </c>
      <c r="BO9" s="89">
        <v>5</v>
      </c>
      <c r="BP9" s="90">
        <v>1</v>
      </c>
      <c r="BQ9" s="90">
        <v>9</v>
      </c>
      <c r="BR9" s="88">
        <f t="shared" si="7"/>
        <v>347.51</v>
      </c>
      <c r="BS9" s="86">
        <f t="shared" si="8"/>
        <v>0</v>
      </c>
      <c r="BT9" s="86">
        <f t="shared" si="9"/>
        <v>347.51</v>
      </c>
      <c r="BU9" s="90">
        <f t="shared" si="10"/>
        <v>35</v>
      </c>
      <c r="BV9" s="88">
        <f t="shared" si="12"/>
        <v>6.17</v>
      </c>
      <c r="BW9" s="88">
        <f t="shared" si="13"/>
        <v>11.22</v>
      </c>
      <c r="BX9" s="88">
        <f t="shared" si="14"/>
        <v>11.32</v>
      </c>
      <c r="BY9" s="88">
        <f t="shared" si="15"/>
        <v>17.41</v>
      </c>
      <c r="BZ9" s="88">
        <v>0</v>
      </c>
      <c r="CA9" s="88">
        <v>0</v>
      </c>
      <c r="CB9" s="88">
        <v>0</v>
      </c>
      <c r="CC9" s="88">
        <v>0</v>
      </c>
      <c r="CD9" s="164"/>
      <c r="CE9" s="164"/>
      <c r="CF9" s="184"/>
    </row>
    <row r="10" spans="1:84" s="87" customFormat="1" ht="12" customHeight="1" x14ac:dyDescent="0.2">
      <c r="A10" s="166">
        <f t="shared" si="11"/>
        <v>43318</v>
      </c>
      <c r="B10" s="86">
        <v>7555.6</v>
      </c>
      <c r="C10" s="202"/>
      <c r="D10" s="202"/>
      <c r="E10" s="202"/>
      <c r="F10" s="88">
        <v>32.950000000000003</v>
      </c>
      <c r="G10" s="88">
        <v>65.989999999999995</v>
      </c>
      <c r="H10" s="88">
        <v>63.68</v>
      </c>
      <c r="I10" s="88">
        <v>92.76</v>
      </c>
      <c r="J10" s="88">
        <v>103.32</v>
      </c>
      <c r="K10" s="88">
        <v>207.56</v>
      </c>
      <c r="L10" s="88">
        <v>200.25</v>
      </c>
      <c r="M10" s="88">
        <v>292</v>
      </c>
      <c r="N10" s="88">
        <v>48.02</v>
      </c>
      <c r="O10" s="88">
        <v>96.46</v>
      </c>
      <c r="P10" s="88">
        <v>93.06</v>
      </c>
      <c r="Q10" s="88">
        <v>135.69999999999999</v>
      </c>
      <c r="R10" s="88">
        <v>317.42</v>
      </c>
      <c r="S10" s="88">
        <v>637.84</v>
      </c>
      <c r="T10" s="88">
        <v>615.44000000000005</v>
      </c>
      <c r="U10" s="88">
        <v>897.39</v>
      </c>
      <c r="V10" s="87">
        <v>20</v>
      </c>
      <c r="W10" s="87">
        <v>5</v>
      </c>
      <c r="X10" s="87">
        <v>1</v>
      </c>
      <c r="Y10" s="87">
        <v>11</v>
      </c>
      <c r="Z10" s="87">
        <f t="shared" si="0"/>
        <v>37</v>
      </c>
      <c r="AA10" s="87">
        <v>68</v>
      </c>
      <c r="AB10" s="197">
        <f t="shared" si="16"/>
        <v>878.95083333333343</v>
      </c>
      <c r="AC10" s="197">
        <f t="shared" si="17"/>
        <v>465.32691176470593</v>
      </c>
      <c r="AD10" s="86">
        <v>0</v>
      </c>
      <c r="AE10" s="86">
        <v>0</v>
      </c>
      <c r="AF10" s="86">
        <v>0</v>
      </c>
      <c r="AG10" s="86">
        <v>0</v>
      </c>
      <c r="AH10" s="86">
        <f t="shared" si="1"/>
        <v>0</v>
      </c>
      <c r="AI10" s="88">
        <v>501.71</v>
      </c>
      <c r="AJ10" s="88">
        <v>1007.84</v>
      </c>
      <c r="AK10" s="88">
        <v>972.43</v>
      </c>
      <c r="AL10" s="94">
        <v>1417.85</v>
      </c>
      <c r="AM10" s="88">
        <f t="shared" si="2"/>
        <v>60</v>
      </c>
      <c r="AN10" s="88">
        <f t="shared" si="2"/>
        <v>60</v>
      </c>
      <c r="AO10" s="88">
        <f t="shared" si="2"/>
        <v>60</v>
      </c>
      <c r="AP10" s="88">
        <f t="shared" si="2"/>
        <v>60</v>
      </c>
      <c r="AQ10" s="86">
        <v>2343.54</v>
      </c>
      <c r="AR10" s="89">
        <v>22</v>
      </c>
      <c r="AS10" s="89">
        <v>5</v>
      </c>
      <c r="AT10" s="90">
        <v>1</v>
      </c>
      <c r="AU10" s="90">
        <v>9</v>
      </c>
      <c r="AV10" s="90">
        <f t="shared" si="3"/>
        <v>37</v>
      </c>
      <c r="AW10" s="205"/>
      <c r="AX10" s="205"/>
      <c r="AY10" s="205"/>
      <c r="AZ10" s="205"/>
      <c r="BA10" s="205"/>
      <c r="BB10" s="88">
        <f t="shared" si="4"/>
        <v>2494.1800000000003</v>
      </c>
      <c r="BC10" s="86">
        <f t="shared" si="5"/>
        <v>0</v>
      </c>
      <c r="BD10" s="88">
        <f t="shared" si="6"/>
        <v>2494.1800000000003</v>
      </c>
      <c r="BE10" s="88">
        <v>35.520000000000003</v>
      </c>
      <c r="BF10" s="88">
        <v>70.459999999999994</v>
      </c>
      <c r="BG10" s="88">
        <v>92.52</v>
      </c>
      <c r="BH10" s="88">
        <v>140.88</v>
      </c>
      <c r="BI10" s="88">
        <v>0</v>
      </c>
      <c r="BJ10" s="88">
        <v>0</v>
      </c>
      <c r="BK10" s="88">
        <v>0</v>
      </c>
      <c r="BL10" s="88">
        <v>0</v>
      </c>
      <c r="BM10" s="86">
        <v>0</v>
      </c>
      <c r="BN10" s="89">
        <v>20</v>
      </c>
      <c r="BO10" s="89">
        <v>5</v>
      </c>
      <c r="BP10" s="90">
        <v>1</v>
      </c>
      <c r="BQ10" s="90">
        <v>9</v>
      </c>
      <c r="BR10" s="88">
        <f t="shared" si="7"/>
        <v>347.51</v>
      </c>
      <c r="BS10" s="86">
        <f t="shared" si="8"/>
        <v>0</v>
      </c>
      <c r="BT10" s="86">
        <f t="shared" si="9"/>
        <v>347.51</v>
      </c>
      <c r="BU10" s="90">
        <f t="shared" si="10"/>
        <v>35</v>
      </c>
      <c r="BV10" s="88">
        <f t="shared" si="12"/>
        <v>6.17</v>
      </c>
      <c r="BW10" s="88">
        <f t="shared" si="13"/>
        <v>11.22</v>
      </c>
      <c r="BX10" s="88">
        <f t="shared" si="14"/>
        <v>11.32</v>
      </c>
      <c r="BY10" s="88">
        <f t="shared" si="15"/>
        <v>17.41</v>
      </c>
      <c r="BZ10" s="88">
        <v>0</v>
      </c>
      <c r="CA10" s="88">
        <v>0</v>
      </c>
      <c r="CB10" s="88">
        <v>0</v>
      </c>
      <c r="CC10" s="88">
        <v>0</v>
      </c>
      <c r="CD10" s="164"/>
      <c r="CE10" s="164"/>
      <c r="CF10" s="184"/>
    </row>
    <row r="11" spans="1:84" s="87" customFormat="1" ht="12" customHeight="1" x14ac:dyDescent="0.2">
      <c r="A11" s="166">
        <f t="shared" si="11"/>
        <v>43349</v>
      </c>
      <c r="B11" s="86">
        <v>4905.75</v>
      </c>
      <c r="C11" s="202"/>
      <c r="D11" s="202"/>
      <c r="E11" s="202"/>
      <c r="F11" s="88">
        <v>32.950000000000003</v>
      </c>
      <c r="G11" s="88">
        <v>65.989999999999995</v>
      </c>
      <c r="H11" s="88">
        <v>63.68</v>
      </c>
      <c r="I11" s="88">
        <v>92.76</v>
      </c>
      <c r="J11" s="88">
        <v>103.32</v>
      </c>
      <c r="K11" s="88">
        <v>207.56</v>
      </c>
      <c r="L11" s="88">
        <v>200.25</v>
      </c>
      <c r="M11" s="88">
        <v>292</v>
      </c>
      <c r="N11" s="88">
        <v>48.02</v>
      </c>
      <c r="O11" s="88">
        <v>96.46</v>
      </c>
      <c r="P11" s="88">
        <v>93.06</v>
      </c>
      <c r="Q11" s="88">
        <v>135.69999999999999</v>
      </c>
      <c r="R11" s="88">
        <v>317.42</v>
      </c>
      <c r="S11" s="88">
        <v>637.84</v>
      </c>
      <c r="T11" s="88">
        <v>615.44000000000005</v>
      </c>
      <c r="U11" s="88">
        <v>897.39</v>
      </c>
      <c r="V11" s="87">
        <v>20</v>
      </c>
      <c r="W11" s="87">
        <v>5</v>
      </c>
      <c r="X11" s="87">
        <v>1</v>
      </c>
      <c r="Y11" s="87">
        <v>10</v>
      </c>
      <c r="Z11" s="87">
        <f t="shared" si="0"/>
        <v>36</v>
      </c>
      <c r="AA11" s="87">
        <v>68</v>
      </c>
      <c r="AB11" s="197">
        <f t="shared" si="16"/>
        <v>816.87513513513522</v>
      </c>
      <c r="AC11" s="197">
        <f t="shared" si="17"/>
        <v>444.47617647058831</v>
      </c>
      <c r="AD11" s="86">
        <v>0</v>
      </c>
      <c r="AE11" s="86">
        <v>0</v>
      </c>
      <c r="AF11" s="86">
        <v>0</v>
      </c>
      <c r="AG11" s="86">
        <v>0</v>
      </c>
      <c r="AH11" s="86">
        <f t="shared" si="1"/>
        <v>0</v>
      </c>
      <c r="AI11" s="88">
        <v>501.71</v>
      </c>
      <c r="AJ11" s="88">
        <v>1007.84</v>
      </c>
      <c r="AK11" s="88">
        <v>972.43</v>
      </c>
      <c r="AL11" s="94">
        <v>1417.85</v>
      </c>
      <c r="AM11" s="88">
        <f t="shared" si="2"/>
        <v>60</v>
      </c>
      <c r="AN11" s="88">
        <f t="shared" si="2"/>
        <v>60</v>
      </c>
      <c r="AO11" s="88">
        <f t="shared" si="2"/>
        <v>60</v>
      </c>
      <c r="AP11" s="88">
        <f t="shared" si="2"/>
        <v>60</v>
      </c>
      <c r="AQ11" s="86">
        <v>1976.52</v>
      </c>
      <c r="AR11" s="89">
        <v>22</v>
      </c>
      <c r="AS11" s="89">
        <v>5</v>
      </c>
      <c r="AT11" s="90">
        <v>1</v>
      </c>
      <c r="AU11" s="90">
        <v>8</v>
      </c>
      <c r="AV11" s="90">
        <f t="shared" si="3"/>
        <v>36</v>
      </c>
      <c r="AW11" s="205"/>
      <c r="AX11" s="205"/>
      <c r="AY11" s="205"/>
      <c r="AZ11" s="205"/>
      <c r="BA11" s="205"/>
      <c r="BB11" s="88">
        <f t="shared" si="4"/>
        <v>2353.3000000000002</v>
      </c>
      <c r="BC11" s="86">
        <f t="shared" si="5"/>
        <v>0</v>
      </c>
      <c r="BD11" s="88">
        <f t="shared" si="6"/>
        <v>2353.3000000000002</v>
      </c>
      <c r="BE11" s="88">
        <v>35.520000000000003</v>
      </c>
      <c r="BF11" s="88">
        <v>70.459999999999994</v>
      </c>
      <c r="BG11" s="88">
        <v>92.52</v>
      </c>
      <c r="BH11" s="88">
        <v>140.88</v>
      </c>
      <c r="BI11" s="88">
        <v>0</v>
      </c>
      <c r="BJ11" s="88">
        <v>0</v>
      </c>
      <c r="BK11" s="88">
        <v>0</v>
      </c>
      <c r="BL11" s="88">
        <v>0</v>
      </c>
      <c r="BM11" s="86">
        <v>0</v>
      </c>
      <c r="BN11" s="89">
        <v>20</v>
      </c>
      <c r="BO11" s="89">
        <v>5</v>
      </c>
      <c r="BP11" s="90">
        <v>1</v>
      </c>
      <c r="BQ11" s="90">
        <v>8</v>
      </c>
      <c r="BR11" s="88">
        <f t="shared" si="7"/>
        <v>330.1</v>
      </c>
      <c r="BS11" s="86">
        <f t="shared" si="8"/>
        <v>0</v>
      </c>
      <c r="BT11" s="86">
        <f t="shared" si="9"/>
        <v>330.1</v>
      </c>
      <c r="BU11" s="90">
        <f t="shared" si="10"/>
        <v>34</v>
      </c>
      <c r="BV11" s="88">
        <f t="shared" si="12"/>
        <v>6.17</v>
      </c>
      <c r="BW11" s="88">
        <f t="shared" si="13"/>
        <v>11.22</v>
      </c>
      <c r="BX11" s="88">
        <f t="shared" si="14"/>
        <v>11.32</v>
      </c>
      <c r="BY11" s="88">
        <f t="shared" si="15"/>
        <v>17.41</v>
      </c>
      <c r="BZ11" s="88">
        <v>0</v>
      </c>
      <c r="CA11" s="88">
        <v>0</v>
      </c>
      <c r="CB11" s="88">
        <v>0</v>
      </c>
      <c r="CC11" s="88">
        <v>0</v>
      </c>
      <c r="CD11" s="164"/>
      <c r="CE11" s="164"/>
      <c r="CF11" s="184"/>
    </row>
    <row r="12" spans="1:84" s="87" customFormat="1" ht="12" customHeight="1" x14ac:dyDescent="0.2">
      <c r="A12" s="166">
        <f t="shared" si="11"/>
        <v>43380</v>
      </c>
      <c r="B12" s="86">
        <v>3496.74</v>
      </c>
      <c r="C12" s="202"/>
      <c r="D12" s="202"/>
      <c r="E12" s="202"/>
      <c r="F12" s="88">
        <v>32.950000000000003</v>
      </c>
      <c r="G12" s="88">
        <v>65.989999999999995</v>
      </c>
      <c r="H12" s="88">
        <v>63.68</v>
      </c>
      <c r="I12" s="88">
        <v>92.76</v>
      </c>
      <c r="J12" s="88">
        <v>103.32</v>
      </c>
      <c r="K12" s="88">
        <v>207.56</v>
      </c>
      <c r="L12" s="88">
        <v>200.25</v>
      </c>
      <c r="M12" s="88">
        <v>292</v>
      </c>
      <c r="N12" s="88">
        <v>48.02</v>
      </c>
      <c r="O12" s="88">
        <v>96.46</v>
      </c>
      <c r="P12" s="88">
        <v>93.06</v>
      </c>
      <c r="Q12" s="88">
        <v>135.69999999999999</v>
      </c>
      <c r="R12" s="88">
        <v>317.42</v>
      </c>
      <c r="S12" s="88">
        <v>637.84</v>
      </c>
      <c r="T12" s="88">
        <v>615.44000000000005</v>
      </c>
      <c r="U12" s="88">
        <v>897.39</v>
      </c>
      <c r="V12" s="87">
        <v>21</v>
      </c>
      <c r="W12" s="87">
        <v>5</v>
      </c>
      <c r="X12" s="87">
        <v>1</v>
      </c>
      <c r="Y12" s="87">
        <v>10</v>
      </c>
      <c r="Z12" s="87">
        <f>SUM(V13:Y13)</f>
        <v>38</v>
      </c>
      <c r="AA12" s="87">
        <v>68</v>
      </c>
      <c r="AB12" s="197">
        <f t="shared" si="16"/>
        <v>830.43486486486483</v>
      </c>
      <c r="AC12" s="197">
        <f t="shared" si="17"/>
        <v>451.85426470588237</v>
      </c>
      <c r="AD12" s="86">
        <v>0</v>
      </c>
      <c r="AE12" s="86">
        <v>0</v>
      </c>
      <c r="AF12" s="86">
        <v>0</v>
      </c>
      <c r="AG12" s="86">
        <v>0</v>
      </c>
      <c r="AH12" s="86">
        <f t="shared" si="1"/>
        <v>0</v>
      </c>
      <c r="AI12" s="88">
        <v>501.71</v>
      </c>
      <c r="AJ12" s="88">
        <v>1007.84</v>
      </c>
      <c r="AK12" s="88">
        <v>972.43</v>
      </c>
      <c r="AL12" s="94">
        <v>1417.85</v>
      </c>
      <c r="AM12" s="88">
        <f t="shared" si="2"/>
        <v>60</v>
      </c>
      <c r="AN12" s="88">
        <f t="shared" si="2"/>
        <v>60</v>
      </c>
      <c r="AO12" s="88">
        <f t="shared" si="2"/>
        <v>60</v>
      </c>
      <c r="AP12" s="88">
        <f t="shared" si="2"/>
        <v>60</v>
      </c>
      <c r="AQ12" s="86">
        <v>2459.1999999999998</v>
      </c>
      <c r="AR12" s="87">
        <v>23</v>
      </c>
      <c r="AS12" s="87">
        <v>5</v>
      </c>
      <c r="AT12" s="87">
        <v>1</v>
      </c>
      <c r="AU12" s="87">
        <v>8</v>
      </c>
      <c r="AV12" s="90">
        <f>SUM(AR13:AU13)</f>
        <v>38</v>
      </c>
      <c r="AW12" s="205"/>
      <c r="AX12" s="205"/>
      <c r="AY12" s="205"/>
      <c r="AZ12" s="205"/>
      <c r="BA12" s="205"/>
      <c r="BB12" s="88">
        <f t="shared" si="4"/>
        <v>2388.8199999999997</v>
      </c>
      <c r="BC12" s="86">
        <f t="shared" si="5"/>
        <v>0</v>
      </c>
      <c r="BD12" s="88">
        <f t="shared" si="6"/>
        <v>2388.8199999999997</v>
      </c>
      <c r="BE12" s="88">
        <v>35.520000000000003</v>
      </c>
      <c r="BF12" s="88">
        <v>70.459999999999994</v>
      </c>
      <c r="BG12" s="88">
        <v>92.52</v>
      </c>
      <c r="BH12" s="88">
        <v>140.88</v>
      </c>
      <c r="BI12" s="88">
        <v>0</v>
      </c>
      <c r="BJ12" s="88">
        <v>0</v>
      </c>
      <c r="BK12" s="88">
        <v>0</v>
      </c>
      <c r="BL12" s="88">
        <v>0</v>
      </c>
      <c r="BM12" s="86">
        <v>0</v>
      </c>
      <c r="BN12" s="87">
        <v>21</v>
      </c>
      <c r="BO12" s="87">
        <v>5</v>
      </c>
      <c r="BP12" s="87">
        <v>1</v>
      </c>
      <c r="BQ12" s="87">
        <v>8</v>
      </c>
      <c r="BR12" s="88">
        <f t="shared" si="7"/>
        <v>336.27</v>
      </c>
      <c r="BS12" s="86">
        <f t="shared" si="8"/>
        <v>0</v>
      </c>
      <c r="BT12" s="86">
        <f t="shared" si="9"/>
        <v>336.27</v>
      </c>
      <c r="BU12" s="90">
        <f>SUM(BN13:BQ13)</f>
        <v>36</v>
      </c>
      <c r="BV12" s="88">
        <f t="shared" si="12"/>
        <v>6.17</v>
      </c>
      <c r="BW12" s="88">
        <f t="shared" si="13"/>
        <v>11.22</v>
      </c>
      <c r="BX12" s="88">
        <f t="shared" si="14"/>
        <v>11.32</v>
      </c>
      <c r="BY12" s="88">
        <f t="shared" si="15"/>
        <v>17.41</v>
      </c>
      <c r="BZ12" s="88">
        <v>0</v>
      </c>
      <c r="CA12" s="88">
        <v>0</v>
      </c>
      <c r="CB12" s="88">
        <v>0</v>
      </c>
      <c r="CC12" s="88">
        <v>0</v>
      </c>
      <c r="CD12" s="164"/>
      <c r="CE12" s="164"/>
      <c r="CF12" s="184"/>
    </row>
    <row r="13" spans="1:84" s="87" customFormat="1" ht="12" customHeight="1" x14ac:dyDescent="0.2">
      <c r="A13" s="166">
        <f t="shared" si="11"/>
        <v>43411</v>
      </c>
      <c r="B13" s="86">
        <v>5596.43</v>
      </c>
      <c r="C13" s="202"/>
      <c r="D13" s="202"/>
      <c r="E13" s="202"/>
      <c r="F13" s="88">
        <v>32.950000000000003</v>
      </c>
      <c r="G13" s="88">
        <v>65.989999999999995</v>
      </c>
      <c r="H13" s="88">
        <v>63.68</v>
      </c>
      <c r="I13" s="88">
        <v>92.76</v>
      </c>
      <c r="J13" s="88">
        <v>103.32</v>
      </c>
      <c r="K13" s="88">
        <v>207.56</v>
      </c>
      <c r="L13" s="88">
        <v>200.25</v>
      </c>
      <c r="M13" s="88">
        <v>292</v>
      </c>
      <c r="N13" s="88">
        <v>48.02</v>
      </c>
      <c r="O13" s="88">
        <v>96.46</v>
      </c>
      <c r="P13" s="88">
        <v>93.06</v>
      </c>
      <c r="Q13" s="88">
        <v>135.69999999999999</v>
      </c>
      <c r="R13" s="88">
        <v>317.42</v>
      </c>
      <c r="S13" s="88">
        <v>637.84</v>
      </c>
      <c r="T13" s="88">
        <v>615.44000000000005</v>
      </c>
      <c r="U13" s="88">
        <v>897.39</v>
      </c>
      <c r="V13" s="87">
        <v>22</v>
      </c>
      <c r="W13" s="87">
        <v>5</v>
      </c>
      <c r="X13" s="87">
        <v>1</v>
      </c>
      <c r="Y13" s="87">
        <v>10</v>
      </c>
      <c r="Z13" s="87">
        <f>SUM(V14:Y14)</f>
        <v>38</v>
      </c>
      <c r="AA13" s="87">
        <v>68</v>
      </c>
      <c r="AB13" s="197">
        <f t="shared" si="16"/>
        <v>867.43888888888887</v>
      </c>
      <c r="AC13" s="197">
        <f t="shared" si="17"/>
        <v>459.23235294117649</v>
      </c>
      <c r="AD13" s="86">
        <v>0</v>
      </c>
      <c r="AE13" s="86">
        <v>0</v>
      </c>
      <c r="AF13" s="86">
        <v>0</v>
      </c>
      <c r="AG13" s="86">
        <v>0</v>
      </c>
      <c r="AH13" s="86">
        <f t="shared" si="1"/>
        <v>0</v>
      </c>
      <c r="AI13" s="88">
        <v>501.71</v>
      </c>
      <c r="AJ13" s="88">
        <v>1007.84</v>
      </c>
      <c r="AK13" s="88">
        <v>972.43</v>
      </c>
      <c r="AL13" s="94">
        <v>1417.85</v>
      </c>
      <c r="AM13" s="88">
        <f t="shared" si="2"/>
        <v>60</v>
      </c>
      <c r="AN13" s="88">
        <f t="shared" si="2"/>
        <v>60</v>
      </c>
      <c r="AO13" s="88">
        <f t="shared" si="2"/>
        <v>60</v>
      </c>
      <c r="AP13" s="88">
        <f t="shared" si="2"/>
        <v>60</v>
      </c>
      <c r="AQ13" s="86">
        <v>504.37</v>
      </c>
      <c r="AR13" s="89">
        <v>23</v>
      </c>
      <c r="AS13" s="89">
        <v>6</v>
      </c>
      <c r="AT13" s="90">
        <v>1</v>
      </c>
      <c r="AU13" s="90">
        <v>8</v>
      </c>
      <c r="AV13" s="87">
        <f>SUM(AR14:AU14)</f>
        <v>38</v>
      </c>
      <c r="AW13" s="205"/>
      <c r="AX13" s="205"/>
      <c r="AY13" s="205"/>
      <c r="AZ13" s="205"/>
      <c r="BA13" s="205"/>
      <c r="BB13" s="88">
        <f t="shared" si="4"/>
        <v>2459.2799999999997</v>
      </c>
      <c r="BC13" s="86">
        <f t="shared" si="5"/>
        <v>0</v>
      </c>
      <c r="BD13" s="88">
        <f t="shared" si="6"/>
        <v>2459.2799999999997</v>
      </c>
      <c r="BE13" s="88">
        <v>35.520000000000003</v>
      </c>
      <c r="BF13" s="88">
        <v>70.459999999999994</v>
      </c>
      <c r="BG13" s="88">
        <v>92.52</v>
      </c>
      <c r="BH13" s="88">
        <v>140.88</v>
      </c>
      <c r="BI13" s="88">
        <v>0</v>
      </c>
      <c r="BJ13" s="88">
        <v>0</v>
      </c>
      <c r="BK13" s="88">
        <v>0</v>
      </c>
      <c r="BL13" s="88">
        <v>0</v>
      </c>
      <c r="BM13" s="86">
        <v>45</v>
      </c>
      <c r="BN13" s="89">
        <v>21</v>
      </c>
      <c r="BO13" s="89">
        <v>6</v>
      </c>
      <c r="BP13" s="90">
        <v>1</v>
      </c>
      <c r="BQ13" s="90">
        <v>8</v>
      </c>
      <c r="BR13" s="88">
        <f t="shared" si="7"/>
        <v>347.49</v>
      </c>
      <c r="BS13" s="86">
        <f t="shared" si="8"/>
        <v>0</v>
      </c>
      <c r="BT13" s="86">
        <f t="shared" si="9"/>
        <v>347.49</v>
      </c>
      <c r="BU13" s="87">
        <f>SUM(BN14:BQ14)</f>
        <v>36</v>
      </c>
      <c r="BV13" s="88">
        <f t="shared" si="12"/>
        <v>6.17</v>
      </c>
      <c r="BW13" s="88">
        <f t="shared" si="13"/>
        <v>11.22</v>
      </c>
      <c r="BX13" s="88">
        <f t="shared" si="14"/>
        <v>11.32</v>
      </c>
      <c r="BY13" s="88">
        <f t="shared" si="15"/>
        <v>17.41</v>
      </c>
      <c r="BZ13" s="88">
        <v>0</v>
      </c>
      <c r="CA13" s="88">
        <v>0</v>
      </c>
      <c r="CB13" s="88">
        <v>0</v>
      </c>
      <c r="CC13" s="88">
        <v>0</v>
      </c>
      <c r="CD13" s="164"/>
      <c r="CE13" s="164"/>
      <c r="CF13" s="184"/>
    </row>
    <row r="14" spans="1:84" s="75" customFormat="1" ht="12" customHeight="1" thickBot="1" x14ac:dyDescent="0.25">
      <c r="A14" s="168">
        <f t="shared" si="11"/>
        <v>43442</v>
      </c>
      <c r="B14" s="91">
        <v>19113.88</v>
      </c>
      <c r="C14" s="203"/>
      <c r="D14" s="203"/>
      <c r="E14" s="203"/>
      <c r="F14" s="74">
        <v>32.950000000000003</v>
      </c>
      <c r="G14" s="74">
        <v>65.989999999999995</v>
      </c>
      <c r="H14" s="74">
        <v>63.68</v>
      </c>
      <c r="I14" s="74">
        <v>92.76</v>
      </c>
      <c r="J14" s="74">
        <v>103.32</v>
      </c>
      <c r="K14" s="74">
        <v>207.56</v>
      </c>
      <c r="L14" s="74">
        <v>200.25</v>
      </c>
      <c r="M14" s="74">
        <v>292</v>
      </c>
      <c r="N14" s="74">
        <v>48.02</v>
      </c>
      <c r="O14" s="74">
        <v>96.46</v>
      </c>
      <c r="P14" s="74">
        <v>93.06</v>
      </c>
      <c r="Q14" s="74">
        <v>135.69999999999999</v>
      </c>
      <c r="R14" s="74">
        <v>317.42</v>
      </c>
      <c r="S14" s="74">
        <v>637.84</v>
      </c>
      <c r="T14" s="74">
        <v>615.44000000000005</v>
      </c>
      <c r="U14" s="74">
        <v>897.39</v>
      </c>
      <c r="V14" s="75">
        <v>22</v>
      </c>
      <c r="W14" s="75">
        <v>5</v>
      </c>
      <c r="X14" s="75">
        <v>1</v>
      </c>
      <c r="Y14" s="75">
        <v>10</v>
      </c>
      <c r="Z14" s="75">
        <f t="shared" ref="Z14:Z62" si="18">SUM(V14:Y14)</f>
        <v>38</v>
      </c>
      <c r="AA14" s="75">
        <v>68</v>
      </c>
      <c r="AB14" s="204">
        <f t="shared" si="16"/>
        <v>821.78421052631575</v>
      </c>
      <c r="AC14" s="204">
        <f t="shared" si="17"/>
        <v>459.23235294117649</v>
      </c>
      <c r="AD14" s="91">
        <v>0</v>
      </c>
      <c r="AE14" s="91">
        <v>0</v>
      </c>
      <c r="AF14" s="91">
        <v>0</v>
      </c>
      <c r="AG14" s="91">
        <v>0</v>
      </c>
      <c r="AH14" s="91">
        <f t="shared" si="1"/>
        <v>0</v>
      </c>
      <c r="AI14" s="74">
        <v>501.71</v>
      </c>
      <c r="AJ14" s="74">
        <v>1007.84</v>
      </c>
      <c r="AK14" s="74">
        <v>972.43</v>
      </c>
      <c r="AL14" s="95">
        <v>1417.85</v>
      </c>
      <c r="AM14" s="74">
        <f t="shared" si="2"/>
        <v>60</v>
      </c>
      <c r="AN14" s="74">
        <f t="shared" si="2"/>
        <v>60</v>
      </c>
      <c r="AO14" s="74">
        <f t="shared" si="2"/>
        <v>60</v>
      </c>
      <c r="AP14" s="74">
        <f t="shared" si="2"/>
        <v>60</v>
      </c>
      <c r="AQ14" s="91">
        <v>2715.5</v>
      </c>
      <c r="AR14" s="93">
        <v>23</v>
      </c>
      <c r="AS14" s="93">
        <v>6</v>
      </c>
      <c r="AT14" s="92">
        <v>1</v>
      </c>
      <c r="AU14" s="92">
        <v>8</v>
      </c>
      <c r="AV14" s="92">
        <f t="shared" ref="AV14:AV62" si="19">SUM(AR14:AU14)</f>
        <v>38</v>
      </c>
      <c r="AW14" s="206"/>
      <c r="AX14" s="206"/>
      <c r="AY14" s="206"/>
      <c r="AZ14" s="206"/>
      <c r="BA14" s="206"/>
      <c r="BB14" s="74">
        <f t="shared" si="4"/>
        <v>2459.2799999999997</v>
      </c>
      <c r="BC14" s="91">
        <f t="shared" si="5"/>
        <v>0</v>
      </c>
      <c r="BD14" s="74">
        <f t="shared" si="6"/>
        <v>2459.2799999999997</v>
      </c>
      <c r="BE14" s="74">
        <v>35.520000000000003</v>
      </c>
      <c r="BF14" s="74">
        <v>70.459999999999994</v>
      </c>
      <c r="BG14" s="74">
        <v>92.52</v>
      </c>
      <c r="BH14" s="74">
        <v>140.88</v>
      </c>
      <c r="BI14" s="74">
        <v>0</v>
      </c>
      <c r="BJ14" s="74">
        <v>0</v>
      </c>
      <c r="BK14" s="74">
        <v>0</v>
      </c>
      <c r="BL14" s="74">
        <v>0</v>
      </c>
      <c r="BM14" s="91">
        <v>0</v>
      </c>
      <c r="BN14" s="93">
        <v>21</v>
      </c>
      <c r="BO14" s="93">
        <v>6</v>
      </c>
      <c r="BP14" s="92">
        <v>1</v>
      </c>
      <c r="BQ14" s="92">
        <v>8</v>
      </c>
      <c r="BR14" s="74">
        <f t="shared" si="7"/>
        <v>347.49</v>
      </c>
      <c r="BS14" s="91">
        <f t="shared" si="8"/>
        <v>0</v>
      </c>
      <c r="BT14" s="91">
        <f t="shared" si="9"/>
        <v>347.49</v>
      </c>
      <c r="BU14" s="92">
        <f t="shared" ref="BU14:BU50" si="20">SUM(BN14:BQ14)</f>
        <v>36</v>
      </c>
      <c r="BV14" s="74">
        <f t="shared" si="12"/>
        <v>6.17</v>
      </c>
      <c r="BW14" s="74">
        <f t="shared" si="13"/>
        <v>11.22</v>
      </c>
      <c r="BX14" s="74">
        <f t="shared" si="14"/>
        <v>11.32</v>
      </c>
      <c r="BY14" s="74">
        <f t="shared" si="15"/>
        <v>17.41</v>
      </c>
      <c r="BZ14" s="74">
        <v>0</v>
      </c>
      <c r="CA14" s="74">
        <v>0</v>
      </c>
      <c r="CB14" s="74">
        <v>0</v>
      </c>
      <c r="CC14" s="74">
        <v>0</v>
      </c>
      <c r="CD14" s="165"/>
      <c r="CE14" s="165"/>
      <c r="CF14" s="185"/>
    </row>
    <row r="15" spans="1:84" s="87" customFormat="1" ht="12" customHeight="1" x14ac:dyDescent="0.2">
      <c r="A15" s="166">
        <f t="shared" si="11"/>
        <v>43473</v>
      </c>
      <c r="B15" s="86">
        <f>22545.72+6.48+6117.51</f>
        <v>28669.71</v>
      </c>
      <c r="C15" s="202"/>
      <c r="D15" s="202"/>
      <c r="E15" s="202"/>
      <c r="F15" s="88">
        <v>33.619999999999997</v>
      </c>
      <c r="G15" s="88">
        <v>70.599999999999994</v>
      </c>
      <c r="H15" s="88">
        <v>63.88</v>
      </c>
      <c r="I15" s="96">
        <v>100.85</v>
      </c>
      <c r="J15" s="96">
        <v>114.31</v>
      </c>
      <c r="K15" s="96">
        <v>240.06</v>
      </c>
      <c r="L15" s="96">
        <v>217.18</v>
      </c>
      <c r="M15" s="96">
        <v>342.93</v>
      </c>
      <c r="N15" s="96">
        <v>47.18</v>
      </c>
      <c r="O15" s="96">
        <v>99.1</v>
      </c>
      <c r="P15" s="96">
        <v>89.66</v>
      </c>
      <c r="Q15" s="96">
        <v>141.56</v>
      </c>
      <c r="R15" s="88">
        <v>347.35</v>
      </c>
      <c r="S15" s="88">
        <v>667.77</v>
      </c>
      <c r="T15" s="88">
        <v>694.11</v>
      </c>
      <c r="U15" s="88">
        <v>1017.52</v>
      </c>
      <c r="V15" s="87">
        <v>22</v>
      </c>
      <c r="W15" s="87">
        <v>5</v>
      </c>
      <c r="X15" s="87">
        <v>1</v>
      </c>
      <c r="Y15" s="87">
        <v>10</v>
      </c>
      <c r="Z15" s="87">
        <f t="shared" si="18"/>
        <v>38</v>
      </c>
      <c r="AA15" s="87">
        <v>72</v>
      </c>
      <c r="AB15" s="197">
        <f t="shared" si="16"/>
        <v>905.66315789473674</v>
      </c>
      <c r="AC15" s="197">
        <f t="shared" si="17"/>
        <v>506.10588235294114</v>
      </c>
      <c r="AD15" s="86">
        <v>0</v>
      </c>
      <c r="AE15" s="86">
        <v>0</v>
      </c>
      <c r="AF15" s="86">
        <v>0</v>
      </c>
      <c r="AG15" s="86">
        <v>0</v>
      </c>
      <c r="AH15" s="86">
        <f>SUMPRODUCT(V15:Y15,AD15:AG15)</f>
        <v>0</v>
      </c>
      <c r="AI15" s="88">
        <v>470.75</v>
      </c>
      <c r="AJ15" s="88">
        <v>988.59</v>
      </c>
      <c r="AK15" s="88">
        <v>894.43</v>
      </c>
      <c r="AL15" s="88">
        <v>1412.25</v>
      </c>
      <c r="AM15" s="88">
        <f t="shared" si="2"/>
        <v>60</v>
      </c>
      <c r="AN15" s="88">
        <f t="shared" si="2"/>
        <v>60</v>
      </c>
      <c r="AO15" s="88">
        <f t="shared" si="2"/>
        <v>60</v>
      </c>
      <c r="AP15" s="88">
        <f t="shared" si="2"/>
        <v>60</v>
      </c>
      <c r="AQ15" s="86">
        <v>304</v>
      </c>
      <c r="AR15" s="89">
        <v>23</v>
      </c>
      <c r="AS15" s="89">
        <v>6</v>
      </c>
      <c r="AT15" s="90">
        <v>1</v>
      </c>
      <c r="AU15" s="90">
        <v>8</v>
      </c>
      <c r="AV15" s="90">
        <f t="shared" si="19"/>
        <v>38</v>
      </c>
      <c r="AW15" s="88">
        <v>31.73</v>
      </c>
      <c r="AX15" s="88">
        <v>63.46</v>
      </c>
      <c r="AY15" s="88">
        <v>83.39</v>
      </c>
      <c r="AZ15" s="88">
        <v>127.34</v>
      </c>
      <c r="BA15" s="88">
        <f>SUMPRODUCT(AW15:AZ15, AR15:AU15)</f>
        <v>2212.66</v>
      </c>
      <c r="BB15" s="88">
        <f t="shared" si="4"/>
        <v>2606.6499999999996</v>
      </c>
      <c r="BC15" s="86">
        <f t="shared" si="5"/>
        <v>0</v>
      </c>
      <c r="BD15" s="88">
        <f t="shared" si="6"/>
        <v>2606.6499999999996</v>
      </c>
      <c r="BE15" s="88">
        <v>37.65</v>
      </c>
      <c r="BF15" s="88">
        <v>74.680000000000007</v>
      </c>
      <c r="BG15" s="88">
        <v>98.06</v>
      </c>
      <c r="BH15" s="88">
        <v>149.32</v>
      </c>
      <c r="BI15" s="88">
        <v>0</v>
      </c>
      <c r="BJ15" s="88">
        <v>0</v>
      </c>
      <c r="BK15" s="88">
        <v>0</v>
      </c>
      <c r="BL15" s="88">
        <v>0</v>
      </c>
      <c r="BM15" s="86">
        <v>60</v>
      </c>
      <c r="BN15" s="89">
        <v>21</v>
      </c>
      <c r="BO15" s="89">
        <v>6</v>
      </c>
      <c r="BP15" s="90">
        <v>1</v>
      </c>
      <c r="BQ15" s="90">
        <v>8</v>
      </c>
      <c r="BR15" s="88">
        <f t="shared" si="7"/>
        <v>360.28</v>
      </c>
      <c r="BS15" s="86">
        <f t="shared" si="8"/>
        <v>0</v>
      </c>
      <c r="BT15" s="86">
        <f t="shared" si="9"/>
        <v>360.28</v>
      </c>
      <c r="BU15" s="90">
        <f t="shared" si="20"/>
        <v>36</v>
      </c>
      <c r="BV15" s="88">
        <f>4.62+1.76</f>
        <v>6.38</v>
      </c>
      <c r="BW15" s="88">
        <f>9.24+2.4</f>
        <v>11.64</v>
      </c>
      <c r="BX15" s="88">
        <f>9.33+2.41</f>
        <v>11.74</v>
      </c>
      <c r="BY15" s="88">
        <f>14.9+3.19</f>
        <v>18.09</v>
      </c>
      <c r="BZ15" s="88">
        <v>0</v>
      </c>
      <c r="CA15" s="88">
        <v>0</v>
      </c>
      <c r="CB15" s="88">
        <v>0</v>
      </c>
      <c r="CC15" s="88">
        <v>0</v>
      </c>
      <c r="CD15" s="164"/>
      <c r="CE15" s="164"/>
      <c r="CF15" s="184"/>
    </row>
    <row r="16" spans="1:84" s="87" customFormat="1" ht="12" customHeight="1" x14ac:dyDescent="0.2">
      <c r="A16" s="166">
        <f t="shared" si="11"/>
        <v>43504</v>
      </c>
      <c r="B16" s="86">
        <f>331.86+6.48+29743.97</f>
        <v>30082.31</v>
      </c>
      <c r="C16" s="202"/>
      <c r="D16" s="202"/>
      <c r="E16" s="202"/>
      <c r="F16" s="88">
        <v>33.619999999999997</v>
      </c>
      <c r="G16" s="88">
        <v>70.599999999999994</v>
      </c>
      <c r="H16" s="88">
        <v>63.88</v>
      </c>
      <c r="I16" s="96">
        <v>100.85</v>
      </c>
      <c r="J16" s="96">
        <v>114.31</v>
      </c>
      <c r="K16" s="96">
        <v>240.06</v>
      </c>
      <c r="L16" s="96">
        <v>217.18</v>
      </c>
      <c r="M16" s="96">
        <v>342.93</v>
      </c>
      <c r="N16" s="96">
        <v>47.18</v>
      </c>
      <c r="O16" s="96">
        <v>99.1</v>
      </c>
      <c r="P16" s="96">
        <v>89.66</v>
      </c>
      <c r="Q16" s="96">
        <v>141.56</v>
      </c>
      <c r="R16" s="96">
        <v>334.69</v>
      </c>
      <c r="S16" s="96">
        <v>667.92</v>
      </c>
      <c r="T16" s="96">
        <v>659</v>
      </c>
      <c r="U16" s="96">
        <v>1036.2</v>
      </c>
      <c r="V16" s="87">
        <v>22</v>
      </c>
      <c r="W16" s="87">
        <v>5</v>
      </c>
      <c r="X16" s="87">
        <v>1</v>
      </c>
      <c r="Y16" s="87">
        <v>10</v>
      </c>
      <c r="Z16" s="87">
        <f t="shared" si="18"/>
        <v>38</v>
      </c>
      <c r="AA16" s="87">
        <v>72</v>
      </c>
      <c r="AB16" s="197">
        <f t="shared" si="16"/>
        <v>902.34526315789458</v>
      </c>
      <c r="AC16" s="197">
        <f t="shared" si="17"/>
        <v>504.25176470588229</v>
      </c>
      <c r="AD16" s="86">
        <v>0</v>
      </c>
      <c r="AE16" s="86">
        <v>0</v>
      </c>
      <c r="AF16" s="86">
        <v>0</v>
      </c>
      <c r="AG16" s="86">
        <v>0</v>
      </c>
      <c r="AH16" s="86">
        <f t="shared" ref="AH16:AH62" si="21">SUMPRODUCT(V16:Y16,AD16:AG16)</f>
        <v>0</v>
      </c>
      <c r="AI16" s="88">
        <v>470.75</v>
      </c>
      <c r="AJ16" s="88">
        <v>988.59</v>
      </c>
      <c r="AK16" s="88">
        <v>894.43</v>
      </c>
      <c r="AL16" s="88">
        <v>1412.25</v>
      </c>
      <c r="AM16" s="88">
        <f t="shared" si="2"/>
        <v>60</v>
      </c>
      <c r="AN16" s="88">
        <f t="shared" si="2"/>
        <v>60</v>
      </c>
      <c r="AO16" s="88">
        <f t="shared" si="2"/>
        <v>60</v>
      </c>
      <c r="AP16" s="88">
        <f t="shared" si="2"/>
        <v>60</v>
      </c>
      <c r="AQ16" s="86">
        <v>2154.14</v>
      </c>
      <c r="AR16" s="89">
        <v>23</v>
      </c>
      <c r="AS16" s="89">
        <v>6</v>
      </c>
      <c r="AT16" s="90">
        <v>1</v>
      </c>
      <c r="AU16" s="90">
        <v>8</v>
      </c>
      <c r="AV16" s="90">
        <f t="shared" si="19"/>
        <v>38</v>
      </c>
      <c r="AW16" s="96">
        <v>31.73</v>
      </c>
      <c r="AX16" s="96">
        <v>63.46</v>
      </c>
      <c r="AY16" s="96">
        <v>83.39</v>
      </c>
      <c r="AZ16" s="96">
        <v>127.34</v>
      </c>
      <c r="BA16" s="88">
        <f t="shared" ref="BA16:BA62" si="22">SUMPRODUCT(AW16:AZ16, AR16:AU16)</f>
        <v>2212.66</v>
      </c>
      <c r="BB16" s="88">
        <f t="shared" si="4"/>
        <v>2606.6499999999996</v>
      </c>
      <c r="BC16" s="86">
        <f t="shared" si="5"/>
        <v>0</v>
      </c>
      <c r="BD16" s="88">
        <f t="shared" si="6"/>
        <v>2606.6499999999996</v>
      </c>
      <c r="BE16" s="88">
        <v>37.65</v>
      </c>
      <c r="BF16" s="88">
        <v>74.680000000000007</v>
      </c>
      <c r="BG16" s="88">
        <v>98.06</v>
      </c>
      <c r="BH16" s="88">
        <v>149.32</v>
      </c>
      <c r="BI16" s="88">
        <v>0</v>
      </c>
      <c r="BJ16" s="88">
        <v>0</v>
      </c>
      <c r="BK16" s="88">
        <v>0</v>
      </c>
      <c r="BL16" s="88">
        <v>0</v>
      </c>
      <c r="BM16" s="86">
        <v>279.69</v>
      </c>
      <c r="BN16" s="89">
        <v>21</v>
      </c>
      <c r="BO16" s="89">
        <v>6</v>
      </c>
      <c r="BP16" s="90">
        <v>1</v>
      </c>
      <c r="BQ16" s="90">
        <v>8</v>
      </c>
      <c r="BR16" s="88">
        <f t="shared" si="7"/>
        <v>360.28</v>
      </c>
      <c r="BS16" s="86">
        <f t="shared" si="8"/>
        <v>0</v>
      </c>
      <c r="BT16" s="86">
        <f t="shared" si="9"/>
        <v>360.28</v>
      </c>
      <c r="BU16" s="90">
        <f t="shared" si="20"/>
        <v>36</v>
      </c>
      <c r="BV16" s="88">
        <f t="shared" ref="BV16:BV26" si="23">4.62+1.76</f>
        <v>6.38</v>
      </c>
      <c r="BW16" s="88">
        <f t="shared" ref="BW16:BW26" si="24">9.24+2.4</f>
        <v>11.64</v>
      </c>
      <c r="BX16" s="88">
        <f t="shared" ref="BX16:BX26" si="25">9.33+2.41</f>
        <v>11.74</v>
      </c>
      <c r="BY16" s="88">
        <f t="shared" ref="BY16:BY26" si="26">14.9+3.19</f>
        <v>18.09</v>
      </c>
      <c r="BZ16" s="88">
        <v>0</v>
      </c>
      <c r="CA16" s="88">
        <v>0</v>
      </c>
      <c r="CB16" s="88">
        <v>0</v>
      </c>
      <c r="CC16" s="88">
        <v>0</v>
      </c>
      <c r="CD16" s="164"/>
      <c r="CE16" s="164"/>
      <c r="CF16" s="184"/>
    </row>
    <row r="17" spans="1:84" s="87" customFormat="1" ht="12" customHeight="1" x14ac:dyDescent="0.2">
      <c r="A17" s="166">
        <f t="shared" si="11"/>
        <v>43535</v>
      </c>
      <c r="B17" s="86">
        <f>8393.7+195.42+10.86</f>
        <v>8599.9800000000014</v>
      </c>
      <c r="C17" s="202"/>
      <c r="D17" s="202"/>
      <c r="E17" s="202"/>
      <c r="F17" s="88">
        <v>33.619999999999997</v>
      </c>
      <c r="G17" s="88">
        <v>70.599999999999994</v>
      </c>
      <c r="H17" s="88">
        <v>63.88</v>
      </c>
      <c r="I17" s="96">
        <v>100.85</v>
      </c>
      <c r="J17" s="96">
        <v>114.31</v>
      </c>
      <c r="K17" s="96">
        <v>240.06</v>
      </c>
      <c r="L17" s="96">
        <v>217.18</v>
      </c>
      <c r="M17" s="96">
        <v>342.93</v>
      </c>
      <c r="N17" s="96">
        <v>47.18</v>
      </c>
      <c r="O17" s="96">
        <v>99.1</v>
      </c>
      <c r="P17" s="96">
        <v>89.66</v>
      </c>
      <c r="Q17" s="96">
        <v>141.56</v>
      </c>
      <c r="R17" s="96">
        <v>334.69</v>
      </c>
      <c r="S17" s="96">
        <v>667.92</v>
      </c>
      <c r="T17" s="96">
        <v>659</v>
      </c>
      <c r="U17" s="96">
        <v>667.92</v>
      </c>
      <c r="V17" s="87">
        <v>23</v>
      </c>
      <c r="W17" s="87">
        <v>6</v>
      </c>
      <c r="X17" s="87">
        <v>1</v>
      </c>
      <c r="Y17" s="87">
        <v>8</v>
      </c>
      <c r="Z17" s="87">
        <f t="shared" si="18"/>
        <v>38</v>
      </c>
      <c r="AA17" s="87">
        <v>72</v>
      </c>
      <c r="AB17" s="197">
        <f t="shared" si="16"/>
        <v>781.77052631578954</v>
      </c>
      <c r="AC17" s="197">
        <f t="shared" si="17"/>
        <v>412.60111111111115</v>
      </c>
      <c r="AD17" s="86">
        <v>0</v>
      </c>
      <c r="AE17" s="86">
        <v>0</v>
      </c>
      <c r="AF17" s="86">
        <v>0</v>
      </c>
      <c r="AG17" s="86">
        <v>0</v>
      </c>
      <c r="AH17" s="86">
        <f t="shared" si="21"/>
        <v>0</v>
      </c>
      <c r="AI17" s="88">
        <v>470.75</v>
      </c>
      <c r="AJ17" s="88">
        <v>988.59</v>
      </c>
      <c r="AK17" s="88">
        <v>894.43</v>
      </c>
      <c r="AL17" s="88">
        <v>1412.25</v>
      </c>
      <c r="AM17" s="88">
        <f t="shared" si="2"/>
        <v>60</v>
      </c>
      <c r="AN17" s="88">
        <f t="shared" si="2"/>
        <v>60</v>
      </c>
      <c r="AO17" s="88">
        <f t="shared" si="2"/>
        <v>60</v>
      </c>
      <c r="AP17" s="88">
        <f t="shared" si="2"/>
        <v>60</v>
      </c>
      <c r="AQ17" s="86">
        <v>416.6</v>
      </c>
      <c r="AR17" s="89">
        <v>22</v>
      </c>
      <c r="AS17" s="89">
        <v>6</v>
      </c>
      <c r="AT17" s="90">
        <v>1</v>
      </c>
      <c r="AU17" s="90">
        <v>8</v>
      </c>
      <c r="AV17" s="90">
        <f t="shared" si="19"/>
        <v>37</v>
      </c>
      <c r="AW17" s="96">
        <v>31.73</v>
      </c>
      <c r="AX17" s="96">
        <v>63.46</v>
      </c>
      <c r="AY17" s="96">
        <v>83.39</v>
      </c>
      <c r="AZ17" s="96">
        <v>127.34</v>
      </c>
      <c r="BA17" s="88">
        <f t="shared" si="22"/>
        <v>2180.9300000000003</v>
      </c>
      <c r="BB17" s="88">
        <f t="shared" si="4"/>
        <v>2569</v>
      </c>
      <c r="BC17" s="86">
        <f t="shared" si="5"/>
        <v>0</v>
      </c>
      <c r="BD17" s="88">
        <f t="shared" si="6"/>
        <v>2569</v>
      </c>
      <c r="BE17" s="88">
        <v>37.65</v>
      </c>
      <c r="BF17" s="88">
        <v>74.680000000000007</v>
      </c>
      <c r="BG17" s="88">
        <v>98.06</v>
      </c>
      <c r="BH17" s="88">
        <v>149.32</v>
      </c>
      <c r="BI17" s="88">
        <v>0</v>
      </c>
      <c r="BJ17" s="88">
        <v>0</v>
      </c>
      <c r="BK17" s="88">
        <v>0</v>
      </c>
      <c r="BL17" s="88">
        <v>0</v>
      </c>
      <c r="BM17" s="86">
        <v>73.75</v>
      </c>
      <c r="BN17" s="89">
        <v>20</v>
      </c>
      <c r="BO17" s="89">
        <v>6</v>
      </c>
      <c r="BP17" s="90">
        <v>1</v>
      </c>
      <c r="BQ17" s="90">
        <v>8</v>
      </c>
      <c r="BR17" s="88">
        <f t="shared" si="7"/>
        <v>353.9</v>
      </c>
      <c r="BS17" s="86">
        <f t="shared" si="8"/>
        <v>0</v>
      </c>
      <c r="BT17" s="86">
        <f t="shared" si="9"/>
        <v>353.9</v>
      </c>
      <c r="BU17" s="90">
        <f t="shared" si="20"/>
        <v>35</v>
      </c>
      <c r="BV17" s="88">
        <f t="shared" si="23"/>
        <v>6.38</v>
      </c>
      <c r="BW17" s="88">
        <f t="shared" si="24"/>
        <v>11.64</v>
      </c>
      <c r="BX17" s="88">
        <f t="shared" si="25"/>
        <v>11.74</v>
      </c>
      <c r="BY17" s="88">
        <f t="shared" si="26"/>
        <v>18.09</v>
      </c>
      <c r="BZ17" s="88">
        <v>0</v>
      </c>
      <c r="CA17" s="88">
        <v>0</v>
      </c>
      <c r="CB17" s="88">
        <v>0</v>
      </c>
      <c r="CC17" s="88">
        <v>0</v>
      </c>
      <c r="CD17" s="164"/>
      <c r="CE17" s="164"/>
      <c r="CF17" s="184"/>
    </row>
    <row r="18" spans="1:84" s="87" customFormat="1" ht="12" customHeight="1" x14ac:dyDescent="0.2">
      <c r="A18" s="166">
        <f t="shared" si="11"/>
        <v>43566</v>
      </c>
      <c r="B18" s="86">
        <f>66790.3-145.14+463.38</f>
        <v>67108.540000000008</v>
      </c>
      <c r="C18" s="202"/>
      <c r="D18" s="202"/>
      <c r="E18" s="202"/>
      <c r="F18" s="88">
        <v>33.619999999999997</v>
      </c>
      <c r="G18" s="88">
        <v>70.599999999999994</v>
      </c>
      <c r="H18" s="88">
        <v>63.88</v>
      </c>
      <c r="I18" s="96">
        <v>100.85</v>
      </c>
      <c r="J18" s="96">
        <v>114.31</v>
      </c>
      <c r="K18" s="96">
        <v>240.06</v>
      </c>
      <c r="L18" s="96">
        <v>217.18</v>
      </c>
      <c r="M18" s="96">
        <v>342.93</v>
      </c>
      <c r="N18" s="96">
        <v>47.18</v>
      </c>
      <c r="O18" s="96">
        <v>99.1</v>
      </c>
      <c r="P18" s="96">
        <v>89.66</v>
      </c>
      <c r="Q18" s="96">
        <v>141.56</v>
      </c>
      <c r="R18" s="96">
        <v>334.69</v>
      </c>
      <c r="S18" s="96">
        <v>667.92</v>
      </c>
      <c r="T18" s="96">
        <v>659</v>
      </c>
      <c r="U18" s="96">
        <v>667.92</v>
      </c>
      <c r="V18" s="87">
        <v>22</v>
      </c>
      <c r="W18" s="87">
        <v>5</v>
      </c>
      <c r="X18" s="87">
        <v>1</v>
      </c>
      <c r="Y18" s="87">
        <v>10</v>
      </c>
      <c r="Z18" s="87">
        <f t="shared" si="18"/>
        <v>38</v>
      </c>
      <c r="AA18" s="87">
        <v>72</v>
      </c>
      <c r="AB18" s="197">
        <f t="shared" si="16"/>
        <v>805.42947368421051</v>
      </c>
      <c r="AC18" s="197">
        <f t="shared" si="17"/>
        <v>425.08777777777777</v>
      </c>
      <c r="AD18" s="86">
        <v>0</v>
      </c>
      <c r="AE18" s="86">
        <v>0</v>
      </c>
      <c r="AF18" s="86">
        <v>0</v>
      </c>
      <c r="AG18" s="86">
        <v>0</v>
      </c>
      <c r="AH18" s="86">
        <f t="shared" si="21"/>
        <v>0</v>
      </c>
      <c r="AI18" s="88">
        <v>470.75</v>
      </c>
      <c r="AJ18" s="88">
        <v>988.59</v>
      </c>
      <c r="AK18" s="88">
        <v>894.43</v>
      </c>
      <c r="AL18" s="88">
        <v>1412.25</v>
      </c>
      <c r="AM18" s="88">
        <f t="shared" si="2"/>
        <v>60</v>
      </c>
      <c r="AN18" s="88">
        <f t="shared" si="2"/>
        <v>60</v>
      </c>
      <c r="AO18" s="88">
        <f t="shared" si="2"/>
        <v>60</v>
      </c>
      <c r="AP18" s="88">
        <f t="shared" si="2"/>
        <v>60</v>
      </c>
      <c r="AQ18" s="86">
        <v>5927.56</v>
      </c>
      <c r="AR18" s="89">
        <v>23</v>
      </c>
      <c r="AS18" s="89">
        <v>6</v>
      </c>
      <c r="AT18" s="90">
        <v>1</v>
      </c>
      <c r="AU18" s="90">
        <v>9</v>
      </c>
      <c r="AV18" s="90">
        <f t="shared" si="19"/>
        <v>39</v>
      </c>
      <c r="AW18" s="96">
        <v>31.73</v>
      </c>
      <c r="AX18" s="96">
        <v>63.46</v>
      </c>
      <c r="AY18" s="96">
        <v>83.39</v>
      </c>
      <c r="AZ18" s="96">
        <v>127.34</v>
      </c>
      <c r="BA18" s="88">
        <f t="shared" si="22"/>
        <v>2340</v>
      </c>
      <c r="BB18" s="88">
        <f t="shared" si="4"/>
        <v>2755.97</v>
      </c>
      <c r="BC18" s="86">
        <f t="shared" si="5"/>
        <v>0</v>
      </c>
      <c r="BD18" s="88">
        <f t="shared" si="6"/>
        <v>2755.97</v>
      </c>
      <c r="BE18" s="88">
        <v>37.65</v>
      </c>
      <c r="BF18" s="88">
        <v>74.680000000000007</v>
      </c>
      <c r="BG18" s="88">
        <v>98.06</v>
      </c>
      <c r="BH18" s="88">
        <v>149.32</v>
      </c>
      <c r="BI18" s="88">
        <v>0</v>
      </c>
      <c r="BJ18" s="88">
        <v>0</v>
      </c>
      <c r="BK18" s="88">
        <v>0</v>
      </c>
      <c r="BL18" s="88">
        <v>0</v>
      </c>
      <c r="BM18" s="86">
        <v>135.25</v>
      </c>
      <c r="BN18" s="89">
        <v>21</v>
      </c>
      <c r="BO18" s="89">
        <v>6</v>
      </c>
      <c r="BP18" s="90">
        <v>1</v>
      </c>
      <c r="BQ18" s="90">
        <v>9</v>
      </c>
      <c r="BR18" s="88">
        <f t="shared" si="7"/>
        <v>378.37</v>
      </c>
      <c r="BS18" s="86">
        <f t="shared" si="8"/>
        <v>0</v>
      </c>
      <c r="BT18" s="86">
        <f t="shared" si="9"/>
        <v>378.37</v>
      </c>
      <c r="BU18" s="90">
        <f t="shared" si="20"/>
        <v>37</v>
      </c>
      <c r="BV18" s="88">
        <f t="shared" si="23"/>
        <v>6.38</v>
      </c>
      <c r="BW18" s="88">
        <f t="shared" si="24"/>
        <v>11.64</v>
      </c>
      <c r="BX18" s="88">
        <f t="shared" si="25"/>
        <v>11.74</v>
      </c>
      <c r="BY18" s="88">
        <f t="shared" si="26"/>
        <v>18.09</v>
      </c>
      <c r="BZ18" s="88">
        <v>0</v>
      </c>
      <c r="CA18" s="88">
        <v>0</v>
      </c>
      <c r="CB18" s="88">
        <v>0</v>
      </c>
      <c r="CC18" s="88">
        <v>0</v>
      </c>
      <c r="CD18" s="164"/>
      <c r="CE18" s="164"/>
      <c r="CF18" s="184"/>
    </row>
    <row r="19" spans="1:84" s="87" customFormat="1" ht="12" customHeight="1" x14ac:dyDescent="0.2">
      <c r="A19" s="166">
        <f t="shared" si="11"/>
        <v>43597</v>
      </c>
      <c r="B19" s="86">
        <f>1458.48+18674.81</f>
        <v>20133.29</v>
      </c>
      <c r="C19" s="202"/>
      <c r="D19" s="202"/>
      <c r="E19" s="202"/>
      <c r="F19" s="88">
        <v>33.619999999999997</v>
      </c>
      <c r="G19" s="88">
        <v>70.599999999999994</v>
      </c>
      <c r="H19" s="88">
        <v>63.88</v>
      </c>
      <c r="I19" s="96">
        <v>100.85</v>
      </c>
      <c r="J19" s="96">
        <v>114.31</v>
      </c>
      <c r="K19" s="96">
        <v>240.06</v>
      </c>
      <c r="L19" s="96">
        <v>217.18</v>
      </c>
      <c r="M19" s="96">
        <v>342.93</v>
      </c>
      <c r="N19" s="96">
        <v>47.18</v>
      </c>
      <c r="O19" s="96">
        <v>99.1</v>
      </c>
      <c r="P19" s="96">
        <v>89.66</v>
      </c>
      <c r="Q19" s="96">
        <v>141.56</v>
      </c>
      <c r="R19" s="96">
        <v>334.69</v>
      </c>
      <c r="S19" s="96">
        <v>667.92</v>
      </c>
      <c r="T19" s="96">
        <v>659</v>
      </c>
      <c r="U19" s="96">
        <v>667.92</v>
      </c>
      <c r="V19" s="87">
        <v>22</v>
      </c>
      <c r="W19" s="87">
        <v>5</v>
      </c>
      <c r="X19" s="87">
        <v>1</v>
      </c>
      <c r="Y19" s="87">
        <v>10</v>
      </c>
      <c r="Z19" s="87">
        <f t="shared" si="18"/>
        <v>38</v>
      </c>
      <c r="AA19" s="87">
        <v>72</v>
      </c>
      <c r="AB19" s="197">
        <f t="shared" si="16"/>
        <v>805.42947368421051</v>
      </c>
      <c r="AC19" s="197">
        <f t="shared" si="17"/>
        <v>425.08777777777777</v>
      </c>
      <c r="AD19" s="86">
        <v>0</v>
      </c>
      <c r="AE19" s="86">
        <v>0</v>
      </c>
      <c r="AF19" s="86">
        <v>0</v>
      </c>
      <c r="AG19" s="86">
        <v>0</v>
      </c>
      <c r="AH19" s="86">
        <f t="shared" si="21"/>
        <v>0</v>
      </c>
      <c r="AI19" s="88">
        <v>470.75</v>
      </c>
      <c r="AJ19" s="88">
        <v>988.59</v>
      </c>
      <c r="AK19" s="88">
        <v>894.43</v>
      </c>
      <c r="AL19" s="88">
        <v>1412.25</v>
      </c>
      <c r="AM19" s="88">
        <f t="shared" si="2"/>
        <v>60</v>
      </c>
      <c r="AN19" s="88">
        <f t="shared" si="2"/>
        <v>60</v>
      </c>
      <c r="AO19" s="88">
        <f t="shared" si="2"/>
        <v>60</v>
      </c>
      <c r="AP19" s="88">
        <f t="shared" si="2"/>
        <v>60</v>
      </c>
      <c r="AQ19" s="86">
        <v>4311.87</v>
      </c>
      <c r="AR19" s="89">
        <v>23</v>
      </c>
      <c r="AS19" s="89">
        <v>6</v>
      </c>
      <c r="AT19" s="90">
        <v>1</v>
      </c>
      <c r="AU19" s="90">
        <v>9</v>
      </c>
      <c r="AV19" s="90">
        <f t="shared" si="19"/>
        <v>39</v>
      </c>
      <c r="AW19" s="96">
        <v>31.73</v>
      </c>
      <c r="AX19" s="96">
        <v>63.46</v>
      </c>
      <c r="AY19" s="96">
        <v>83.39</v>
      </c>
      <c r="AZ19" s="96">
        <v>127.34</v>
      </c>
      <c r="BA19" s="88">
        <f t="shared" si="22"/>
        <v>2340</v>
      </c>
      <c r="BB19" s="88">
        <f t="shared" si="4"/>
        <v>2755.97</v>
      </c>
      <c r="BC19" s="86">
        <f t="shared" si="5"/>
        <v>0</v>
      </c>
      <c r="BD19" s="88">
        <f t="shared" si="6"/>
        <v>2755.97</v>
      </c>
      <c r="BE19" s="88">
        <v>37.65</v>
      </c>
      <c r="BF19" s="88">
        <v>74.680000000000007</v>
      </c>
      <c r="BG19" s="88">
        <v>98.06</v>
      </c>
      <c r="BH19" s="88">
        <v>149.32</v>
      </c>
      <c r="BI19" s="88">
        <v>0</v>
      </c>
      <c r="BJ19" s="88">
        <v>0</v>
      </c>
      <c r="BK19" s="88">
        <v>0</v>
      </c>
      <c r="BL19" s="88">
        <v>0</v>
      </c>
      <c r="BM19" s="86">
        <v>126.25</v>
      </c>
      <c r="BN19" s="89">
        <v>21</v>
      </c>
      <c r="BO19" s="89">
        <v>6</v>
      </c>
      <c r="BP19" s="90">
        <v>1</v>
      </c>
      <c r="BQ19" s="90">
        <v>9</v>
      </c>
      <c r="BR19" s="88">
        <f t="shared" si="7"/>
        <v>378.37</v>
      </c>
      <c r="BS19" s="86">
        <f t="shared" si="8"/>
        <v>0</v>
      </c>
      <c r="BT19" s="86">
        <f t="shared" si="9"/>
        <v>378.37</v>
      </c>
      <c r="BU19" s="90">
        <f t="shared" si="20"/>
        <v>37</v>
      </c>
      <c r="BV19" s="88">
        <f t="shared" si="23"/>
        <v>6.38</v>
      </c>
      <c r="BW19" s="88">
        <f t="shared" si="24"/>
        <v>11.64</v>
      </c>
      <c r="BX19" s="88">
        <f t="shared" si="25"/>
        <v>11.74</v>
      </c>
      <c r="BY19" s="88">
        <f t="shared" si="26"/>
        <v>18.09</v>
      </c>
      <c r="BZ19" s="88">
        <v>0</v>
      </c>
      <c r="CA19" s="88">
        <v>0</v>
      </c>
      <c r="CB19" s="88">
        <v>0</v>
      </c>
      <c r="CC19" s="88">
        <v>0</v>
      </c>
      <c r="CD19" s="164"/>
      <c r="CE19" s="164"/>
      <c r="CF19" s="184"/>
    </row>
    <row r="20" spans="1:84" s="87" customFormat="1" ht="12" customHeight="1" x14ac:dyDescent="0.2">
      <c r="A20" s="166">
        <f t="shared" si="11"/>
        <v>43628</v>
      </c>
      <c r="B20" s="86">
        <f>4817.45+4419.2-129.97</f>
        <v>9106.68</v>
      </c>
      <c r="C20" s="202"/>
      <c r="D20" s="202"/>
      <c r="E20" s="202"/>
      <c r="F20" s="88">
        <v>33.619999999999997</v>
      </c>
      <c r="G20" s="88">
        <v>70.599999999999994</v>
      </c>
      <c r="H20" s="88">
        <v>63.88</v>
      </c>
      <c r="I20" s="96">
        <v>100.85</v>
      </c>
      <c r="J20" s="96">
        <v>114.31</v>
      </c>
      <c r="K20" s="96">
        <v>240.06</v>
      </c>
      <c r="L20" s="96">
        <v>217.18</v>
      </c>
      <c r="M20" s="96">
        <v>342.93</v>
      </c>
      <c r="N20" s="96">
        <v>47.18</v>
      </c>
      <c r="O20" s="96">
        <v>99.1</v>
      </c>
      <c r="P20" s="96">
        <v>89.66</v>
      </c>
      <c r="Q20" s="96">
        <v>141.56</v>
      </c>
      <c r="R20" s="96">
        <v>334.69</v>
      </c>
      <c r="S20" s="96">
        <v>667.92</v>
      </c>
      <c r="T20" s="96">
        <v>659</v>
      </c>
      <c r="U20" s="96">
        <v>667.92</v>
      </c>
      <c r="V20" s="87">
        <v>22</v>
      </c>
      <c r="W20" s="87">
        <v>5</v>
      </c>
      <c r="X20" s="87">
        <v>1</v>
      </c>
      <c r="Y20" s="87">
        <v>10</v>
      </c>
      <c r="Z20" s="87">
        <f t="shared" si="18"/>
        <v>38</v>
      </c>
      <c r="AA20" s="87">
        <v>72</v>
      </c>
      <c r="AB20" s="197">
        <f t="shared" si="16"/>
        <v>805.42947368421051</v>
      </c>
      <c r="AC20" s="197">
        <f t="shared" si="17"/>
        <v>425.08777777777777</v>
      </c>
      <c r="AD20" s="86">
        <v>0</v>
      </c>
      <c r="AE20" s="86">
        <v>0</v>
      </c>
      <c r="AF20" s="86">
        <v>0</v>
      </c>
      <c r="AG20" s="86">
        <v>0</v>
      </c>
      <c r="AH20" s="86">
        <f t="shared" si="21"/>
        <v>0</v>
      </c>
      <c r="AI20" s="88">
        <v>470.75</v>
      </c>
      <c r="AJ20" s="88">
        <v>988.59</v>
      </c>
      <c r="AK20" s="88">
        <v>894.43</v>
      </c>
      <c r="AL20" s="88">
        <v>1412.25</v>
      </c>
      <c r="AM20" s="88">
        <f t="shared" si="2"/>
        <v>60</v>
      </c>
      <c r="AN20" s="88">
        <f t="shared" si="2"/>
        <v>60</v>
      </c>
      <c r="AO20" s="88">
        <f t="shared" si="2"/>
        <v>60</v>
      </c>
      <c r="AP20" s="88">
        <f t="shared" si="2"/>
        <v>60</v>
      </c>
      <c r="AQ20" s="86">
        <v>1422.6</v>
      </c>
      <c r="AR20" s="89">
        <v>23</v>
      </c>
      <c r="AS20" s="89">
        <v>6</v>
      </c>
      <c r="AT20" s="90">
        <v>1</v>
      </c>
      <c r="AU20" s="90">
        <v>9</v>
      </c>
      <c r="AV20" s="90">
        <f t="shared" si="19"/>
        <v>39</v>
      </c>
      <c r="AW20" s="96">
        <v>31.73</v>
      </c>
      <c r="AX20" s="96">
        <v>63.46</v>
      </c>
      <c r="AY20" s="96">
        <v>83.39</v>
      </c>
      <c r="AZ20" s="96">
        <v>127.34</v>
      </c>
      <c r="BA20" s="88">
        <f t="shared" si="22"/>
        <v>2340</v>
      </c>
      <c r="BB20" s="88">
        <f t="shared" si="4"/>
        <v>2755.97</v>
      </c>
      <c r="BC20" s="86">
        <f t="shared" si="5"/>
        <v>0</v>
      </c>
      <c r="BD20" s="88">
        <f t="shared" si="6"/>
        <v>2755.97</v>
      </c>
      <c r="BE20" s="88">
        <v>37.65</v>
      </c>
      <c r="BF20" s="88">
        <v>74.680000000000007</v>
      </c>
      <c r="BG20" s="88">
        <v>98.06</v>
      </c>
      <c r="BH20" s="88">
        <v>149.32</v>
      </c>
      <c r="BI20" s="88">
        <v>0</v>
      </c>
      <c r="BJ20" s="88">
        <v>0</v>
      </c>
      <c r="BK20" s="88">
        <v>0</v>
      </c>
      <c r="BL20" s="88">
        <v>0</v>
      </c>
      <c r="BM20" s="86">
        <v>53.75</v>
      </c>
      <c r="BN20" s="89">
        <v>21</v>
      </c>
      <c r="BO20" s="89">
        <v>6</v>
      </c>
      <c r="BP20" s="90">
        <v>1</v>
      </c>
      <c r="BQ20" s="90">
        <v>9</v>
      </c>
      <c r="BR20" s="88">
        <f t="shared" si="7"/>
        <v>378.37</v>
      </c>
      <c r="BS20" s="86">
        <f t="shared" si="8"/>
        <v>0</v>
      </c>
      <c r="BT20" s="86">
        <f t="shared" si="9"/>
        <v>378.37</v>
      </c>
      <c r="BU20" s="90">
        <f t="shared" si="20"/>
        <v>37</v>
      </c>
      <c r="BV20" s="88">
        <f t="shared" si="23"/>
        <v>6.38</v>
      </c>
      <c r="BW20" s="88">
        <f t="shared" si="24"/>
        <v>11.64</v>
      </c>
      <c r="BX20" s="88">
        <f t="shared" si="25"/>
        <v>11.74</v>
      </c>
      <c r="BY20" s="88">
        <f t="shared" si="26"/>
        <v>18.09</v>
      </c>
      <c r="BZ20" s="88">
        <v>0</v>
      </c>
      <c r="CA20" s="88">
        <v>0</v>
      </c>
      <c r="CB20" s="88">
        <v>0</v>
      </c>
      <c r="CC20" s="88">
        <v>0</v>
      </c>
      <c r="CD20" s="164"/>
      <c r="CE20" s="164"/>
      <c r="CF20" s="184"/>
    </row>
    <row r="21" spans="1:84" s="87" customFormat="1" ht="12" customHeight="1" x14ac:dyDescent="0.2">
      <c r="A21" s="166">
        <f t="shared" si="11"/>
        <v>43659</v>
      </c>
      <c r="B21" s="86">
        <f>380.86+8683.91</f>
        <v>9064.77</v>
      </c>
      <c r="C21" s="202"/>
      <c r="D21" s="202"/>
      <c r="E21" s="202"/>
      <c r="F21" s="88">
        <v>33.619999999999997</v>
      </c>
      <c r="G21" s="88">
        <v>70.599999999999994</v>
      </c>
      <c r="H21" s="88">
        <v>63.88</v>
      </c>
      <c r="I21" s="96">
        <v>100.85</v>
      </c>
      <c r="J21" s="96">
        <v>114.31</v>
      </c>
      <c r="K21" s="96">
        <v>240.06</v>
      </c>
      <c r="L21" s="96">
        <v>217.18</v>
      </c>
      <c r="M21" s="96">
        <v>342.93</v>
      </c>
      <c r="N21" s="96">
        <v>47.18</v>
      </c>
      <c r="O21" s="96">
        <v>99.1</v>
      </c>
      <c r="P21" s="96">
        <v>89.66</v>
      </c>
      <c r="Q21" s="96">
        <v>141.56</v>
      </c>
      <c r="R21" s="96">
        <v>334.69</v>
      </c>
      <c r="S21" s="96">
        <v>667.92</v>
      </c>
      <c r="T21" s="96">
        <v>659</v>
      </c>
      <c r="U21" s="96">
        <v>667.92</v>
      </c>
      <c r="V21" s="87">
        <v>23</v>
      </c>
      <c r="W21" s="87">
        <v>5</v>
      </c>
      <c r="X21" s="87">
        <v>1</v>
      </c>
      <c r="Y21" s="87">
        <v>9</v>
      </c>
      <c r="Z21" s="87">
        <f t="shared" si="18"/>
        <v>38</v>
      </c>
      <c r="AA21" s="87">
        <v>72</v>
      </c>
      <c r="AB21" s="197">
        <f t="shared" si="16"/>
        <v>786.39105263157899</v>
      </c>
      <c r="AC21" s="197">
        <f t="shared" si="17"/>
        <v>415.03972222222222</v>
      </c>
      <c r="AD21" s="86">
        <v>0</v>
      </c>
      <c r="AE21" s="86">
        <v>0</v>
      </c>
      <c r="AF21" s="86">
        <v>0</v>
      </c>
      <c r="AG21" s="86">
        <v>0</v>
      </c>
      <c r="AH21" s="86">
        <f t="shared" si="21"/>
        <v>0</v>
      </c>
      <c r="AI21" s="88">
        <v>470.75</v>
      </c>
      <c r="AJ21" s="88">
        <v>988.59</v>
      </c>
      <c r="AK21" s="88">
        <v>894.43</v>
      </c>
      <c r="AL21" s="88">
        <v>1412.25</v>
      </c>
      <c r="AM21" s="88">
        <f t="shared" si="2"/>
        <v>60</v>
      </c>
      <c r="AN21" s="88">
        <f t="shared" si="2"/>
        <v>60</v>
      </c>
      <c r="AO21" s="88">
        <f t="shared" si="2"/>
        <v>60</v>
      </c>
      <c r="AP21" s="88">
        <f t="shared" si="2"/>
        <v>60</v>
      </c>
      <c r="AQ21" s="86">
        <v>1422.5</v>
      </c>
      <c r="AR21" s="89">
        <v>24</v>
      </c>
      <c r="AS21" s="89">
        <v>6</v>
      </c>
      <c r="AT21" s="90">
        <v>1</v>
      </c>
      <c r="AU21" s="90">
        <v>9</v>
      </c>
      <c r="AV21" s="90">
        <f t="shared" si="19"/>
        <v>40</v>
      </c>
      <c r="AW21" s="96">
        <v>31.73</v>
      </c>
      <c r="AX21" s="96">
        <v>63.46</v>
      </c>
      <c r="AY21" s="96">
        <v>83.39</v>
      </c>
      <c r="AZ21" s="96">
        <v>127.34</v>
      </c>
      <c r="BA21" s="88">
        <f t="shared" si="22"/>
        <v>2371.73</v>
      </c>
      <c r="BB21" s="88">
        <f t="shared" si="4"/>
        <v>2793.62</v>
      </c>
      <c r="BC21" s="86">
        <f t="shared" si="5"/>
        <v>0</v>
      </c>
      <c r="BD21" s="88">
        <f t="shared" si="6"/>
        <v>2793.62</v>
      </c>
      <c r="BE21" s="88">
        <v>37.65</v>
      </c>
      <c r="BF21" s="88">
        <v>74.680000000000007</v>
      </c>
      <c r="BG21" s="88">
        <v>98.06</v>
      </c>
      <c r="BH21" s="88">
        <v>149.32</v>
      </c>
      <c r="BI21" s="88">
        <v>0</v>
      </c>
      <c r="BJ21" s="88">
        <v>0</v>
      </c>
      <c r="BK21" s="88">
        <v>0</v>
      </c>
      <c r="BL21" s="88">
        <v>0</v>
      </c>
      <c r="BM21" s="86">
        <v>442.25</v>
      </c>
      <c r="BN21" s="89">
        <v>22</v>
      </c>
      <c r="BO21" s="89">
        <v>6</v>
      </c>
      <c r="BP21" s="90">
        <v>1</v>
      </c>
      <c r="BQ21" s="90">
        <v>9</v>
      </c>
      <c r="BR21" s="88">
        <f t="shared" si="7"/>
        <v>384.75</v>
      </c>
      <c r="BS21" s="86">
        <f t="shared" si="8"/>
        <v>0</v>
      </c>
      <c r="BT21" s="86">
        <f t="shared" si="9"/>
        <v>384.75</v>
      </c>
      <c r="BU21" s="90">
        <f t="shared" si="20"/>
        <v>38</v>
      </c>
      <c r="BV21" s="88">
        <f t="shared" si="23"/>
        <v>6.38</v>
      </c>
      <c r="BW21" s="88">
        <f t="shared" si="24"/>
        <v>11.64</v>
      </c>
      <c r="BX21" s="88">
        <f t="shared" si="25"/>
        <v>11.74</v>
      </c>
      <c r="BY21" s="88">
        <f t="shared" si="26"/>
        <v>18.09</v>
      </c>
      <c r="BZ21" s="88">
        <v>0</v>
      </c>
      <c r="CA21" s="88">
        <v>0</v>
      </c>
      <c r="CB21" s="88">
        <v>0</v>
      </c>
      <c r="CC21" s="88">
        <v>0</v>
      </c>
      <c r="CD21" s="164"/>
      <c r="CE21" s="164"/>
      <c r="CF21" s="184"/>
    </row>
    <row r="22" spans="1:84" s="87" customFormat="1" ht="12" customHeight="1" x14ac:dyDescent="0.2">
      <c r="A22" s="166">
        <f t="shared" si="11"/>
        <v>43690</v>
      </c>
      <c r="B22" s="86">
        <f>0.05+138.07+14869.1</f>
        <v>15007.220000000001</v>
      </c>
      <c r="C22" s="202"/>
      <c r="D22" s="202"/>
      <c r="E22" s="202"/>
      <c r="F22" s="88">
        <v>33.619999999999997</v>
      </c>
      <c r="G22" s="88">
        <v>70.599999999999994</v>
      </c>
      <c r="H22" s="88">
        <v>63.88</v>
      </c>
      <c r="I22" s="96">
        <v>100.85</v>
      </c>
      <c r="J22" s="96">
        <v>114.31</v>
      </c>
      <c r="K22" s="96">
        <v>240.06</v>
      </c>
      <c r="L22" s="96">
        <v>217.18</v>
      </c>
      <c r="M22" s="96">
        <v>342.93</v>
      </c>
      <c r="N22" s="96">
        <v>47.18</v>
      </c>
      <c r="O22" s="96">
        <v>99.1</v>
      </c>
      <c r="P22" s="96">
        <v>89.66</v>
      </c>
      <c r="Q22" s="96">
        <v>141.56</v>
      </c>
      <c r="R22" s="96">
        <v>334.69</v>
      </c>
      <c r="S22" s="96">
        <v>667.92</v>
      </c>
      <c r="T22" s="96">
        <v>659</v>
      </c>
      <c r="U22" s="96">
        <v>667.92</v>
      </c>
      <c r="V22" s="87">
        <v>24</v>
      </c>
      <c r="W22" s="87">
        <v>5</v>
      </c>
      <c r="X22" s="87">
        <v>1</v>
      </c>
      <c r="Y22" s="87">
        <v>10</v>
      </c>
      <c r="Z22" s="87">
        <f t="shared" si="18"/>
        <v>40</v>
      </c>
      <c r="AA22" s="87">
        <v>72</v>
      </c>
      <c r="AB22" s="197">
        <f t="shared" si="16"/>
        <v>833.31368421052628</v>
      </c>
      <c r="AC22" s="197">
        <f t="shared" si="17"/>
        <v>439.80444444444441</v>
      </c>
      <c r="AD22" s="86">
        <v>0</v>
      </c>
      <c r="AE22" s="86">
        <v>0</v>
      </c>
      <c r="AF22" s="86">
        <v>0</v>
      </c>
      <c r="AG22" s="86">
        <v>0</v>
      </c>
      <c r="AH22" s="86">
        <f t="shared" si="21"/>
        <v>0</v>
      </c>
      <c r="AI22" s="88">
        <v>470.75</v>
      </c>
      <c r="AJ22" s="88">
        <v>988.59</v>
      </c>
      <c r="AK22" s="88">
        <v>894.43</v>
      </c>
      <c r="AL22" s="88">
        <v>1412.25</v>
      </c>
      <c r="AM22" s="88">
        <f t="shared" si="2"/>
        <v>60</v>
      </c>
      <c r="AN22" s="88">
        <f t="shared" si="2"/>
        <v>60</v>
      </c>
      <c r="AO22" s="88">
        <f t="shared" si="2"/>
        <v>60</v>
      </c>
      <c r="AP22" s="88">
        <f t="shared" si="2"/>
        <v>60</v>
      </c>
      <c r="AQ22" s="86">
        <v>972</v>
      </c>
      <c r="AR22" s="89">
        <v>25</v>
      </c>
      <c r="AS22" s="89">
        <v>5</v>
      </c>
      <c r="AT22" s="90">
        <v>1</v>
      </c>
      <c r="AU22" s="90">
        <v>9</v>
      </c>
      <c r="AV22" s="90">
        <f t="shared" si="19"/>
        <v>40</v>
      </c>
      <c r="AW22" s="96">
        <v>31.73</v>
      </c>
      <c r="AX22" s="96">
        <v>63.46</v>
      </c>
      <c r="AY22" s="96">
        <v>83.39</v>
      </c>
      <c r="AZ22" s="96">
        <v>127.34</v>
      </c>
      <c r="BA22" s="88">
        <f t="shared" si="22"/>
        <v>2340</v>
      </c>
      <c r="BB22" s="88">
        <f t="shared" si="4"/>
        <v>2756.59</v>
      </c>
      <c r="BC22" s="86">
        <f t="shared" si="5"/>
        <v>0</v>
      </c>
      <c r="BD22" s="88">
        <f t="shared" si="6"/>
        <v>2756.59</v>
      </c>
      <c r="BE22" s="88">
        <v>37.65</v>
      </c>
      <c r="BF22" s="88">
        <v>74.680000000000007</v>
      </c>
      <c r="BG22" s="88">
        <v>98.06</v>
      </c>
      <c r="BH22" s="88">
        <v>149.32</v>
      </c>
      <c r="BI22" s="88">
        <v>0</v>
      </c>
      <c r="BJ22" s="88">
        <v>0</v>
      </c>
      <c r="BK22" s="88">
        <v>0</v>
      </c>
      <c r="BL22" s="88">
        <v>0</v>
      </c>
      <c r="BM22" s="86">
        <v>0</v>
      </c>
      <c r="BN22" s="89">
        <v>23</v>
      </c>
      <c r="BO22" s="89">
        <v>5</v>
      </c>
      <c r="BP22" s="90">
        <v>1</v>
      </c>
      <c r="BQ22" s="90">
        <v>9</v>
      </c>
      <c r="BR22" s="88">
        <f t="shared" si="7"/>
        <v>379.49</v>
      </c>
      <c r="BS22" s="86">
        <f t="shared" si="8"/>
        <v>0</v>
      </c>
      <c r="BT22" s="86">
        <f t="shared" si="9"/>
        <v>379.49</v>
      </c>
      <c r="BU22" s="90">
        <f t="shared" si="20"/>
        <v>38</v>
      </c>
      <c r="BV22" s="88">
        <f t="shared" si="23"/>
        <v>6.38</v>
      </c>
      <c r="BW22" s="88">
        <f t="shared" si="24"/>
        <v>11.64</v>
      </c>
      <c r="BX22" s="88">
        <f t="shared" si="25"/>
        <v>11.74</v>
      </c>
      <c r="BY22" s="88">
        <f t="shared" si="26"/>
        <v>18.09</v>
      </c>
      <c r="BZ22" s="88">
        <v>0</v>
      </c>
      <c r="CA22" s="88">
        <v>0</v>
      </c>
      <c r="CB22" s="88">
        <v>0</v>
      </c>
      <c r="CC22" s="88">
        <v>0</v>
      </c>
      <c r="CD22" s="164"/>
      <c r="CE22" s="164"/>
      <c r="CF22" s="184"/>
    </row>
    <row r="23" spans="1:84" s="87" customFormat="1" ht="12" customHeight="1" x14ac:dyDescent="0.2">
      <c r="A23" s="166">
        <f t="shared" si="11"/>
        <v>43721</v>
      </c>
      <c r="B23" s="86">
        <f>8647.35+7303.66</f>
        <v>15951.01</v>
      </c>
      <c r="C23" s="202"/>
      <c r="D23" s="202"/>
      <c r="E23" s="202"/>
      <c r="F23" s="88">
        <v>33.619999999999997</v>
      </c>
      <c r="G23" s="88">
        <v>70.599999999999994</v>
      </c>
      <c r="H23" s="88">
        <v>63.88</v>
      </c>
      <c r="I23" s="96">
        <v>100.85</v>
      </c>
      <c r="J23" s="96">
        <v>114.31</v>
      </c>
      <c r="K23" s="96">
        <v>240.06</v>
      </c>
      <c r="L23" s="96">
        <v>217.18</v>
      </c>
      <c r="M23" s="96">
        <v>342.93</v>
      </c>
      <c r="N23" s="96">
        <v>47.18</v>
      </c>
      <c r="O23" s="96">
        <v>99.1</v>
      </c>
      <c r="P23" s="96">
        <v>89.66</v>
      </c>
      <c r="Q23" s="96">
        <v>141.56</v>
      </c>
      <c r="R23" s="96">
        <v>334.69</v>
      </c>
      <c r="S23" s="96">
        <v>667.92</v>
      </c>
      <c r="T23" s="96">
        <v>659</v>
      </c>
      <c r="U23" s="96">
        <v>667.92</v>
      </c>
      <c r="V23" s="87">
        <v>24</v>
      </c>
      <c r="W23" s="87">
        <v>5</v>
      </c>
      <c r="X23" s="87">
        <v>1</v>
      </c>
      <c r="Y23" s="87">
        <v>10</v>
      </c>
      <c r="Z23" s="87">
        <f t="shared" si="18"/>
        <v>40</v>
      </c>
      <c r="AA23" s="87">
        <v>72</v>
      </c>
      <c r="AB23" s="197">
        <f t="shared" si="16"/>
        <v>833.31368421052628</v>
      </c>
      <c r="AC23" s="197">
        <f t="shared" si="17"/>
        <v>439.80444444444441</v>
      </c>
      <c r="AD23" s="86">
        <v>0</v>
      </c>
      <c r="AE23" s="86">
        <v>0</v>
      </c>
      <c r="AF23" s="86">
        <v>0</v>
      </c>
      <c r="AG23" s="86">
        <v>0</v>
      </c>
      <c r="AH23" s="86">
        <f t="shared" si="21"/>
        <v>0</v>
      </c>
      <c r="AI23" s="88">
        <v>470.75</v>
      </c>
      <c r="AJ23" s="88">
        <v>988.59</v>
      </c>
      <c r="AK23" s="88">
        <v>894.43</v>
      </c>
      <c r="AL23" s="88">
        <v>1412.25</v>
      </c>
      <c r="AM23" s="88">
        <f t="shared" si="2"/>
        <v>60</v>
      </c>
      <c r="AN23" s="88">
        <f t="shared" si="2"/>
        <v>60</v>
      </c>
      <c r="AO23" s="88">
        <f t="shared" si="2"/>
        <v>60</v>
      </c>
      <c r="AP23" s="88">
        <f t="shared" si="2"/>
        <v>60</v>
      </c>
      <c r="AQ23" s="86">
        <v>628.6</v>
      </c>
      <c r="AR23" s="89">
        <v>25</v>
      </c>
      <c r="AS23" s="89">
        <v>5</v>
      </c>
      <c r="AT23" s="90">
        <v>1</v>
      </c>
      <c r="AU23" s="90">
        <v>9</v>
      </c>
      <c r="AV23" s="90">
        <f t="shared" si="19"/>
        <v>40</v>
      </c>
      <c r="AW23" s="96">
        <v>31.73</v>
      </c>
      <c r="AX23" s="96">
        <v>63.46</v>
      </c>
      <c r="AY23" s="96">
        <v>83.39</v>
      </c>
      <c r="AZ23" s="96">
        <v>127.34</v>
      </c>
      <c r="BA23" s="88">
        <f t="shared" si="22"/>
        <v>2340</v>
      </c>
      <c r="BB23" s="88">
        <f t="shared" si="4"/>
        <v>2756.59</v>
      </c>
      <c r="BC23" s="86">
        <f t="shared" si="5"/>
        <v>0</v>
      </c>
      <c r="BD23" s="88">
        <f t="shared" si="6"/>
        <v>2756.59</v>
      </c>
      <c r="BE23" s="88">
        <v>37.65</v>
      </c>
      <c r="BF23" s="88">
        <v>74.680000000000007</v>
      </c>
      <c r="BG23" s="88">
        <v>98.06</v>
      </c>
      <c r="BH23" s="88">
        <v>149.32</v>
      </c>
      <c r="BI23" s="88">
        <v>0</v>
      </c>
      <c r="BJ23" s="88">
        <v>0</v>
      </c>
      <c r="BK23" s="88">
        <v>0</v>
      </c>
      <c r="BL23" s="88">
        <v>0</v>
      </c>
      <c r="BM23" s="86">
        <v>0</v>
      </c>
      <c r="BN23" s="89">
        <v>23</v>
      </c>
      <c r="BO23" s="89">
        <v>5</v>
      </c>
      <c r="BP23" s="90">
        <v>1</v>
      </c>
      <c r="BQ23" s="90">
        <v>9</v>
      </c>
      <c r="BR23" s="88">
        <f t="shared" si="7"/>
        <v>379.49</v>
      </c>
      <c r="BS23" s="86">
        <f t="shared" si="8"/>
        <v>0</v>
      </c>
      <c r="BT23" s="86">
        <f t="shared" si="9"/>
        <v>379.49</v>
      </c>
      <c r="BU23" s="90">
        <f t="shared" si="20"/>
        <v>38</v>
      </c>
      <c r="BV23" s="88">
        <f t="shared" si="23"/>
        <v>6.38</v>
      </c>
      <c r="BW23" s="88">
        <f t="shared" si="24"/>
        <v>11.64</v>
      </c>
      <c r="BX23" s="88">
        <f t="shared" si="25"/>
        <v>11.74</v>
      </c>
      <c r="BY23" s="88">
        <f t="shared" si="26"/>
        <v>18.09</v>
      </c>
      <c r="BZ23" s="88">
        <v>0</v>
      </c>
      <c r="CA23" s="88">
        <v>0</v>
      </c>
      <c r="CB23" s="88">
        <v>0</v>
      </c>
      <c r="CC23" s="88">
        <v>0</v>
      </c>
      <c r="CD23" s="164"/>
      <c r="CE23" s="164"/>
      <c r="CF23" s="184"/>
    </row>
    <row r="24" spans="1:84" s="87" customFormat="1" ht="12" customHeight="1" x14ac:dyDescent="0.2">
      <c r="A24" s="166">
        <f t="shared" si="11"/>
        <v>43752</v>
      </c>
      <c r="B24" s="86">
        <f>316.65+12299.13</f>
        <v>12615.779999999999</v>
      </c>
      <c r="C24" s="202"/>
      <c r="D24" s="202"/>
      <c r="E24" s="202"/>
      <c r="F24" s="88">
        <v>33.619999999999997</v>
      </c>
      <c r="G24" s="88">
        <v>70.599999999999994</v>
      </c>
      <c r="H24" s="88">
        <v>63.88</v>
      </c>
      <c r="I24" s="96">
        <v>100.85</v>
      </c>
      <c r="J24" s="96">
        <v>114.31</v>
      </c>
      <c r="K24" s="96">
        <v>240.06</v>
      </c>
      <c r="L24" s="96">
        <v>217.18</v>
      </c>
      <c r="M24" s="96">
        <v>342.93</v>
      </c>
      <c r="N24" s="96">
        <v>47.18</v>
      </c>
      <c r="O24" s="96">
        <v>99.1</v>
      </c>
      <c r="P24" s="96">
        <v>89.66</v>
      </c>
      <c r="Q24" s="96">
        <v>141.56</v>
      </c>
      <c r="R24" s="96">
        <v>334.69</v>
      </c>
      <c r="S24" s="96">
        <v>667.92</v>
      </c>
      <c r="T24" s="96">
        <v>659</v>
      </c>
      <c r="U24" s="96">
        <v>667.92</v>
      </c>
      <c r="V24" s="87">
        <v>25</v>
      </c>
      <c r="W24" s="87">
        <v>5</v>
      </c>
      <c r="X24" s="87">
        <v>1</v>
      </c>
      <c r="Y24" s="87">
        <v>8</v>
      </c>
      <c r="Z24" s="87">
        <f t="shared" si="18"/>
        <v>39</v>
      </c>
      <c r="AA24" s="87">
        <v>72</v>
      </c>
      <c r="AB24" s="197">
        <f t="shared" si="16"/>
        <v>742.23</v>
      </c>
      <c r="AC24" s="197">
        <f t="shared" si="17"/>
        <v>412.35</v>
      </c>
      <c r="AD24" s="86">
        <v>0</v>
      </c>
      <c r="AE24" s="86">
        <v>0</v>
      </c>
      <c r="AF24" s="86">
        <v>0</v>
      </c>
      <c r="AG24" s="86">
        <v>0</v>
      </c>
      <c r="AH24" s="86">
        <f t="shared" si="21"/>
        <v>0</v>
      </c>
      <c r="AI24" s="88">
        <v>470.75</v>
      </c>
      <c r="AJ24" s="88">
        <v>988.59</v>
      </c>
      <c r="AK24" s="88">
        <v>894.43</v>
      </c>
      <c r="AL24" s="88">
        <v>1412.25</v>
      </c>
      <c r="AM24" s="88">
        <f t="shared" si="2"/>
        <v>60</v>
      </c>
      <c r="AN24" s="88">
        <f t="shared" si="2"/>
        <v>60</v>
      </c>
      <c r="AO24" s="88">
        <f t="shared" si="2"/>
        <v>60</v>
      </c>
      <c r="AP24" s="88">
        <f t="shared" si="2"/>
        <v>60</v>
      </c>
      <c r="AQ24" s="86">
        <v>1000</v>
      </c>
      <c r="AR24" s="89">
        <v>26</v>
      </c>
      <c r="AS24" s="89">
        <v>5</v>
      </c>
      <c r="AT24" s="90">
        <v>1</v>
      </c>
      <c r="AU24" s="90">
        <v>8</v>
      </c>
      <c r="AV24" s="90">
        <f t="shared" si="19"/>
        <v>40</v>
      </c>
      <c r="AW24" s="96">
        <v>31.73</v>
      </c>
      <c r="AX24" s="96">
        <v>63.46</v>
      </c>
      <c r="AY24" s="96">
        <v>83.39</v>
      </c>
      <c r="AZ24" s="96">
        <v>127.34</v>
      </c>
      <c r="BA24" s="88">
        <f t="shared" si="22"/>
        <v>2244.3900000000003</v>
      </c>
      <c r="BB24" s="88">
        <f t="shared" si="4"/>
        <v>2644.92</v>
      </c>
      <c r="BC24" s="86">
        <f t="shared" si="5"/>
        <v>0</v>
      </c>
      <c r="BD24" s="88">
        <f t="shared" si="6"/>
        <v>2644.92</v>
      </c>
      <c r="BE24" s="88">
        <v>37.65</v>
      </c>
      <c r="BF24" s="88">
        <v>74.680000000000007</v>
      </c>
      <c r="BG24" s="88">
        <v>98.06</v>
      </c>
      <c r="BH24" s="88">
        <v>149.32</v>
      </c>
      <c r="BI24" s="88">
        <v>0</v>
      </c>
      <c r="BJ24" s="88">
        <v>0</v>
      </c>
      <c r="BK24" s="88">
        <v>0</v>
      </c>
      <c r="BL24" s="88">
        <v>0</v>
      </c>
      <c r="BM24" s="86">
        <v>227.5</v>
      </c>
      <c r="BN24" s="89">
        <v>24</v>
      </c>
      <c r="BO24" s="89">
        <v>5</v>
      </c>
      <c r="BP24" s="90">
        <v>1</v>
      </c>
      <c r="BQ24" s="90">
        <v>8</v>
      </c>
      <c r="BR24" s="88">
        <f t="shared" si="7"/>
        <v>367.78</v>
      </c>
      <c r="BS24" s="86">
        <f t="shared" si="8"/>
        <v>0</v>
      </c>
      <c r="BT24" s="86">
        <f t="shared" si="9"/>
        <v>367.78</v>
      </c>
      <c r="BU24" s="90">
        <f t="shared" si="20"/>
        <v>38</v>
      </c>
      <c r="BV24" s="88">
        <f t="shared" si="23"/>
        <v>6.38</v>
      </c>
      <c r="BW24" s="88">
        <f t="shared" si="24"/>
        <v>11.64</v>
      </c>
      <c r="BX24" s="88">
        <f t="shared" si="25"/>
        <v>11.74</v>
      </c>
      <c r="BY24" s="88">
        <f t="shared" si="26"/>
        <v>18.09</v>
      </c>
      <c r="BZ24" s="88">
        <v>0</v>
      </c>
      <c r="CA24" s="88">
        <v>0</v>
      </c>
      <c r="CB24" s="88">
        <v>0</v>
      </c>
      <c r="CC24" s="88">
        <v>0</v>
      </c>
      <c r="CD24" s="164"/>
      <c r="CE24" s="164"/>
      <c r="CF24" s="184"/>
    </row>
    <row r="25" spans="1:84" s="87" customFormat="1" ht="12" customHeight="1" x14ac:dyDescent="0.2">
      <c r="A25" s="166">
        <f t="shared" si="11"/>
        <v>43783</v>
      </c>
      <c r="B25" s="86">
        <f>148.54+10640.9</f>
        <v>10789.44</v>
      </c>
      <c r="C25" s="202"/>
      <c r="D25" s="202"/>
      <c r="E25" s="202"/>
      <c r="F25" s="88">
        <v>33.619999999999997</v>
      </c>
      <c r="G25" s="88">
        <v>70.599999999999994</v>
      </c>
      <c r="H25" s="88">
        <v>63.88</v>
      </c>
      <c r="I25" s="96">
        <v>100.85</v>
      </c>
      <c r="J25" s="96">
        <v>114.31</v>
      </c>
      <c r="K25" s="96">
        <v>240.06</v>
      </c>
      <c r="L25" s="96">
        <v>217.18</v>
      </c>
      <c r="M25" s="96">
        <v>342.93</v>
      </c>
      <c r="N25" s="96">
        <v>47.18</v>
      </c>
      <c r="O25" s="96">
        <v>99.1</v>
      </c>
      <c r="P25" s="96">
        <v>89.66</v>
      </c>
      <c r="Q25" s="96">
        <v>141.56</v>
      </c>
      <c r="R25" s="96">
        <v>334.69</v>
      </c>
      <c r="S25" s="96">
        <v>667.92</v>
      </c>
      <c r="T25" s="96">
        <v>659</v>
      </c>
      <c r="U25" s="96">
        <v>667.92</v>
      </c>
      <c r="V25" s="87">
        <v>25</v>
      </c>
      <c r="W25" s="87">
        <v>5</v>
      </c>
      <c r="X25" s="87">
        <v>1</v>
      </c>
      <c r="Y25" s="87">
        <v>9</v>
      </c>
      <c r="Z25" s="87">
        <f t="shared" si="18"/>
        <v>40</v>
      </c>
      <c r="AA25" s="87">
        <v>72</v>
      </c>
      <c r="AB25" s="197">
        <f t="shared" si="16"/>
        <v>773.56150000000002</v>
      </c>
      <c r="AC25" s="197">
        <f t="shared" si="17"/>
        <v>429.75638888888892</v>
      </c>
      <c r="AD25" s="86">
        <v>0</v>
      </c>
      <c r="AE25" s="86">
        <v>0</v>
      </c>
      <c r="AF25" s="86">
        <v>0</v>
      </c>
      <c r="AG25" s="86">
        <v>0</v>
      </c>
      <c r="AH25" s="86">
        <f t="shared" si="21"/>
        <v>0</v>
      </c>
      <c r="AI25" s="88">
        <v>470.75</v>
      </c>
      <c r="AJ25" s="88">
        <v>988.59</v>
      </c>
      <c r="AK25" s="88">
        <v>894.43</v>
      </c>
      <c r="AL25" s="88">
        <v>1412.25</v>
      </c>
      <c r="AM25" s="88">
        <f t="shared" si="2"/>
        <v>60</v>
      </c>
      <c r="AN25" s="88">
        <f t="shared" si="2"/>
        <v>60</v>
      </c>
      <c r="AO25" s="88">
        <f t="shared" si="2"/>
        <v>60</v>
      </c>
      <c r="AP25" s="88">
        <f t="shared" si="2"/>
        <v>60</v>
      </c>
      <c r="AQ25" s="86">
        <v>1708.8</v>
      </c>
      <c r="AR25" s="89">
        <v>26</v>
      </c>
      <c r="AS25" s="89">
        <v>5</v>
      </c>
      <c r="AT25" s="90">
        <v>1</v>
      </c>
      <c r="AU25" s="90">
        <v>8</v>
      </c>
      <c r="AV25" s="90">
        <f t="shared" si="19"/>
        <v>40</v>
      </c>
      <c r="AW25" s="96">
        <v>31.73</v>
      </c>
      <c r="AX25" s="96">
        <v>63.46</v>
      </c>
      <c r="AY25" s="96">
        <v>83.39</v>
      </c>
      <c r="AZ25" s="96">
        <v>127.34</v>
      </c>
      <c r="BA25" s="88">
        <f t="shared" si="22"/>
        <v>2244.3900000000003</v>
      </c>
      <c r="BB25" s="88">
        <f t="shared" si="4"/>
        <v>2644.92</v>
      </c>
      <c r="BC25" s="86">
        <f t="shared" si="5"/>
        <v>0</v>
      </c>
      <c r="BD25" s="88">
        <f t="shared" si="6"/>
        <v>2644.92</v>
      </c>
      <c r="BE25" s="88">
        <v>37.65</v>
      </c>
      <c r="BF25" s="88">
        <v>74.680000000000007</v>
      </c>
      <c r="BG25" s="88">
        <v>98.06</v>
      </c>
      <c r="BH25" s="88">
        <v>149.32</v>
      </c>
      <c r="BI25" s="88">
        <v>0</v>
      </c>
      <c r="BJ25" s="88">
        <v>0</v>
      </c>
      <c r="BK25" s="88">
        <v>0</v>
      </c>
      <c r="BL25" s="88">
        <v>0</v>
      </c>
      <c r="BM25" s="86">
        <v>0</v>
      </c>
      <c r="BN25" s="89">
        <v>24</v>
      </c>
      <c r="BO25" s="89">
        <v>5</v>
      </c>
      <c r="BP25" s="90">
        <v>1</v>
      </c>
      <c r="BQ25" s="90">
        <v>8</v>
      </c>
      <c r="BR25" s="88">
        <f t="shared" si="7"/>
        <v>367.78</v>
      </c>
      <c r="BS25" s="86">
        <f t="shared" si="8"/>
        <v>0</v>
      </c>
      <c r="BT25" s="86">
        <f t="shared" si="9"/>
        <v>367.78</v>
      </c>
      <c r="BU25" s="90">
        <f t="shared" si="20"/>
        <v>38</v>
      </c>
      <c r="BV25" s="88">
        <f t="shared" si="23"/>
        <v>6.38</v>
      </c>
      <c r="BW25" s="88">
        <f t="shared" si="24"/>
        <v>11.64</v>
      </c>
      <c r="BX25" s="88">
        <f t="shared" si="25"/>
        <v>11.74</v>
      </c>
      <c r="BY25" s="88">
        <f t="shared" si="26"/>
        <v>18.09</v>
      </c>
      <c r="BZ25" s="88">
        <v>0</v>
      </c>
      <c r="CA25" s="88">
        <v>0</v>
      </c>
      <c r="CB25" s="88">
        <v>0</v>
      </c>
      <c r="CC25" s="88">
        <v>0</v>
      </c>
      <c r="CD25" s="164"/>
      <c r="CE25" s="164"/>
      <c r="CF25" s="184"/>
    </row>
    <row r="26" spans="1:84" s="75" customFormat="1" ht="12" customHeight="1" thickBot="1" x14ac:dyDescent="0.25">
      <c r="A26" s="168">
        <f t="shared" si="11"/>
        <v>43814</v>
      </c>
      <c r="B26" s="91">
        <f>1365.28+30927.21-67.5</f>
        <v>32224.989999999998</v>
      </c>
      <c r="C26" s="203"/>
      <c r="D26" s="203"/>
      <c r="E26" s="203"/>
      <c r="F26" s="74">
        <v>33.619999999999997</v>
      </c>
      <c r="G26" s="74">
        <v>70.599999999999994</v>
      </c>
      <c r="H26" s="74">
        <v>63.88</v>
      </c>
      <c r="I26" s="97">
        <v>100.85</v>
      </c>
      <c r="J26" s="97">
        <v>114.31</v>
      </c>
      <c r="K26" s="97">
        <v>240.06</v>
      </c>
      <c r="L26" s="97">
        <v>217.18</v>
      </c>
      <c r="M26" s="97">
        <v>342.93</v>
      </c>
      <c r="N26" s="97">
        <v>47.18</v>
      </c>
      <c r="O26" s="97">
        <v>99.1</v>
      </c>
      <c r="P26" s="97">
        <v>89.66</v>
      </c>
      <c r="Q26" s="97">
        <v>141.56</v>
      </c>
      <c r="R26" s="97">
        <v>334.69</v>
      </c>
      <c r="S26" s="97">
        <v>667.92</v>
      </c>
      <c r="T26" s="97">
        <v>659</v>
      </c>
      <c r="U26" s="97">
        <v>667.92</v>
      </c>
      <c r="V26" s="75">
        <v>25</v>
      </c>
      <c r="W26" s="75">
        <v>5</v>
      </c>
      <c r="X26" s="75">
        <v>1</v>
      </c>
      <c r="Y26" s="75">
        <v>9</v>
      </c>
      <c r="Z26" s="75">
        <f t="shared" si="18"/>
        <v>40</v>
      </c>
      <c r="AA26" s="75">
        <v>72</v>
      </c>
      <c r="AB26" s="204">
        <f t="shared" si="16"/>
        <v>793.39641025641038</v>
      </c>
      <c r="AC26" s="204">
        <f t="shared" si="17"/>
        <v>429.75638888888892</v>
      </c>
      <c r="AD26" s="91">
        <v>0</v>
      </c>
      <c r="AE26" s="91">
        <v>0</v>
      </c>
      <c r="AF26" s="91">
        <v>0</v>
      </c>
      <c r="AG26" s="91">
        <v>0</v>
      </c>
      <c r="AH26" s="91">
        <f t="shared" si="21"/>
        <v>0</v>
      </c>
      <c r="AI26" s="74">
        <v>470.75</v>
      </c>
      <c r="AJ26" s="74">
        <v>988.59</v>
      </c>
      <c r="AK26" s="74">
        <v>894.43</v>
      </c>
      <c r="AL26" s="74">
        <v>1412.25</v>
      </c>
      <c r="AM26" s="74">
        <f t="shared" si="2"/>
        <v>60</v>
      </c>
      <c r="AN26" s="74">
        <f t="shared" si="2"/>
        <v>60</v>
      </c>
      <c r="AO26" s="74">
        <f t="shared" si="2"/>
        <v>60</v>
      </c>
      <c r="AP26" s="74">
        <f t="shared" si="2"/>
        <v>60</v>
      </c>
      <c r="AQ26" s="91">
        <v>1109.5</v>
      </c>
      <c r="AR26" s="75">
        <v>26</v>
      </c>
      <c r="AS26" s="75">
        <v>5</v>
      </c>
      <c r="AT26" s="75">
        <v>1</v>
      </c>
      <c r="AU26" s="75">
        <v>8</v>
      </c>
      <c r="AV26" s="92">
        <f t="shared" si="19"/>
        <v>40</v>
      </c>
      <c r="AW26" s="97">
        <v>31.73</v>
      </c>
      <c r="AX26" s="97">
        <v>63.46</v>
      </c>
      <c r="AY26" s="97">
        <v>83.39</v>
      </c>
      <c r="AZ26" s="97">
        <v>127.34</v>
      </c>
      <c r="BA26" s="88">
        <f t="shared" si="22"/>
        <v>2244.3900000000003</v>
      </c>
      <c r="BB26" s="74">
        <f t="shared" si="4"/>
        <v>2644.92</v>
      </c>
      <c r="BC26" s="91">
        <f t="shared" si="5"/>
        <v>0</v>
      </c>
      <c r="BD26" s="74">
        <f t="shared" si="6"/>
        <v>2644.92</v>
      </c>
      <c r="BE26" s="74">
        <v>37.65</v>
      </c>
      <c r="BF26" s="74">
        <v>74.680000000000007</v>
      </c>
      <c r="BG26" s="74">
        <v>98.06</v>
      </c>
      <c r="BH26" s="74">
        <v>149.32</v>
      </c>
      <c r="BI26" s="74">
        <v>0</v>
      </c>
      <c r="BJ26" s="74">
        <v>0</v>
      </c>
      <c r="BK26" s="74">
        <v>0</v>
      </c>
      <c r="BL26" s="74">
        <v>0</v>
      </c>
      <c r="BM26" s="91">
        <v>0</v>
      </c>
      <c r="BN26" s="93">
        <v>24</v>
      </c>
      <c r="BO26" s="93">
        <v>5</v>
      </c>
      <c r="BP26" s="92">
        <v>1</v>
      </c>
      <c r="BQ26" s="92">
        <v>8</v>
      </c>
      <c r="BR26" s="74">
        <f t="shared" si="7"/>
        <v>367.78</v>
      </c>
      <c r="BS26" s="91">
        <f t="shared" si="8"/>
        <v>0</v>
      </c>
      <c r="BT26" s="91">
        <f t="shared" si="9"/>
        <v>367.78</v>
      </c>
      <c r="BU26" s="92">
        <f t="shared" si="20"/>
        <v>38</v>
      </c>
      <c r="BV26" s="74">
        <f t="shared" si="23"/>
        <v>6.38</v>
      </c>
      <c r="BW26" s="74">
        <f t="shared" si="24"/>
        <v>11.64</v>
      </c>
      <c r="BX26" s="74">
        <f t="shared" si="25"/>
        <v>11.74</v>
      </c>
      <c r="BY26" s="74">
        <f t="shared" si="26"/>
        <v>18.09</v>
      </c>
      <c r="BZ26" s="74">
        <v>0</v>
      </c>
      <c r="CA26" s="74">
        <v>0</v>
      </c>
      <c r="CB26" s="74">
        <v>0</v>
      </c>
      <c r="CC26" s="74">
        <v>0</v>
      </c>
      <c r="CD26" s="165"/>
      <c r="CE26" s="165"/>
      <c r="CF26" s="185"/>
    </row>
    <row r="27" spans="1:84" s="87" customFormat="1" ht="12" customHeight="1" x14ac:dyDescent="0.2">
      <c r="A27" s="166">
        <f t="shared" si="11"/>
        <v>43845</v>
      </c>
      <c r="B27" s="86">
        <v>7615.15</v>
      </c>
      <c r="C27" s="86">
        <v>0</v>
      </c>
      <c r="D27" s="86">
        <f>SUMPRODUCT(F27:I27,V27:Y27)+SUMPRODUCT(J27:M27,V27:Y27)+SUMPRODUCT(N27:Q27,V27:Y27)</f>
        <v>14795.46</v>
      </c>
      <c r="E27" s="86">
        <f>SUMPRODUCT(R27:U27,V27:Y27)</f>
        <v>21904.2</v>
      </c>
      <c r="F27" s="88">
        <v>25.72</v>
      </c>
      <c r="G27" s="88">
        <v>54.02</v>
      </c>
      <c r="H27" s="88">
        <v>49.94</v>
      </c>
      <c r="I27" s="88">
        <v>77.17</v>
      </c>
      <c r="J27" s="88">
        <v>136.55000000000001</v>
      </c>
      <c r="K27" s="88">
        <v>286.76</v>
      </c>
      <c r="L27" s="88">
        <v>259.45</v>
      </c>
      <c r="M27" s="88">
        <v>409.66</v>
      </c>
      <c r="N27" s="88">
        <v>54.02</v>
      </c>
      <c r="O27" s="88">
        <v>113.44</v>
      </c>
      <c r="P27" s="88">
        <v>102.64</v>
      </c>
      <c r="Q27" s="88">
        <v>162.05000000000001</v>
      </c>
      <c r="R27" s="88">
        <v>320.24</v>
      </c>
      <c r="S27" s="88">
        <v>672.48</v>
      </c>
      <c r="T27" s="88">
        <v>608.45000000000005</v>
      </c>
      <c r="U27" s="88">
        <v>960.71</v>
      </c>
      <c r="V27" s="98">
        <v>29</v>
      </c>
      <c r="W27" s="98">
        <v>5</v>
      </c>
      <c r="X27" s="98">
        <v>1</v>
      </c>
      <c r="Y27" s="98">
        <v>9</v>
      </c>
      <c r="Z27" s="87">
        <f t="shared" si="18"/>
        <v>44</v>
      </c>
      <c r="AA27" s="87">
        <v>73</v>
      </c>
      <c r="AB27" s="197">
        <f t="shared" si="16"/>
        <v>917.49150000000009</v>
      </c>
      <c r="AC27" s="197">
        <f t="shared" si="17"/>
        <v>509.71750000000003</v>
      </c>
      <c r="AD27" s="86">
        <v>0</v>
      </c>
      <c r="AE27" s="86">
        <v>0</v>
      </c>
      <c r="AF27" s="86">
        <v>0</v>
      </c>
      <c r="AG27" s="86">
        <v>0</v>
      </c>
      <c r="AH27" s="86">
        <f t="shared" si="21"/>
        <v>0</v>
      </c>
      <c r="AI27" s="88">
        <v>533.52</v>
      </c>
      <c r="AJ27" s="88">
        <v>1120.3699999999999</v>
      </c>
      <c r="AK27" s="88">
        <v>1013.69</v>
      </c>
      <c r="AL27" s="88">
        <v>1600.55</v>
      </c>
      <c r="AM27" s="88">
        <f t="shared" ref="AM27:AM43" si="27">720/12</f>
        <v>60</v>
      </c>
      <c r="AN27" s="88">
        <f t="shared" ref="AN27:AP42" si="28">720/12</f>
        <v>60</v>
      </c>
      <c r="AO27" s="88">
        <f t="shared" si="28"/>
        <v>60</v>
      </c>
      <c r="AP27" s="88">
        <f t="shared" si="28"/>
        <v>60</v>
      </c>
      <c r="AQ27" s="86">
        <v>1404.4</v>
      </c>
      <c r="AR27" s="98">
        <v>30</v>
      </c>
      <c r="AS27" s="98">
        <v>4</v>
      </c>
      <c r="AT27" s="98">
        <v>1</v>
      </c>
      <c r="AU27" s="98">
        <v>9</v>
      </c>
      <c r="AV27" s="90">
        <f t="shared" si="19"/>
        <v>44</v>
      </c>
      <c r="AW27" s="88">
        <v>33.630000000000003</v>
      </c>
      <c r="AX27" s="88">
        <v>67.27</v>
      </c>
      <c r="AY27" s="88">
        <v>88.39</v>
      </c>
      <c r="AZ27" s="88">
        <v>134.97999999999999</v>
      </c>
      <c r="BA27" s="88">
        <f t="shared" si="22"/>
        <v>2581.19</v>
      </c>
      <c r="BB27" s="88">
        <f t="shared" si="4"/>
        <v>3038.5299999999997</v>
      </c>
      <c r="BC27" s="86">
        <f t="shared" si="5"/>
        <v>0</v>
      </c>
      <c r="BD27" s="88">
        <f>BB27+BC27</f>
        <v>3038.5299999999997</v>
      </c>
      <c r="BE27" s="88">
        <v>39.799999999999997</v>
      </c>
      <c r="BF27" s="88">
        <v>79.959999999999994</v>
      </c>
      <c r="BG27" s="88">
        <v>103.68</v>
      </c>
      <c r="BH27" s="88">
        <v>157.88999999999999</v>
      </c>
      <c r="BI27" s="88">
        <v>0</v>
      </c>
      <c r="BJ27" s="88">
        <v>0</v>
      </c>
      <c r="BK27" s="88">
        <v>0</v>
      </c>
      <c r="BL27" s="88">
        <v>0</v>
      </c>
      <c r="BM27" s="86">
        <v>60</v>
      </c>
      <c r="BN27" s="98">
        <v>25</v>
      </c>
      <c r="BO27" s="98">
        <v>4</v>
      </c>
      <c r="BP27" s="98">
        <v>1</v>
      </c>
      <c r="BQ27" s="98">
        <v>8</v>
      </c>
      <c r="BR27" s="88">
        <f t="shared" si="7"/>
        <v>367.11</v>
      </c>
      <c r="BS27" s="86">
        <f t="shared" si="8"/>
        <v>0</v>
      </c>
      <c r="BT27" s="86">
        <f>BR27+BS27</f>
        <v>367.11</v>
      </c>
      <c r="BU27" s="90">
        <f t="shared" si="20"/>
        <v>38</v>
      </c>
      <c r="BV27" s="88">
        <v>6.48</v>
      </c>
      <c r="BW27" s="88">
        <v>11.77</v>
      </c>
      <c r="BX27" s="88">
        <v>11.87</v>
      </c>
      <c r="BY27" s="88">
        <v>18.27</v>
      </c>
      <c r="BZ27" s="88">
        <v>0</v>
      </c>
      <c r="CA27" s="88">
        <v>0</v>
      </c>
      <c r="CB27" s="88">
        <v>0</v>
      </c>
      <c r="CC27" s="88">
        <v>0</v>
      </c>
      <c r="CD27" s="96">
        <f>292.19+89.9</f>
        <v>382.09000000000003</v>
      </c>
      <c r="CE27" s="96">
        <v>813.1</v>
      </c>
      <c r="CF27" s="186">
        <v>834.73</v>
      </c>
    </row>
    <row r="28" spans="1:84" s="87" customFormat="1" ht="12" customHeight="1" x14ac:dyDescent="0.2">
      <c r="A28" s="166">
        <f t="shared" si="11"/>
        <v>43876</v>
      </c>
      <c r="B28" s="86">
        <v>6326.28</v>
      </c>
      <c r="C28" s="86">
        <v>0</v>
      </c>
      <c r="D28" s="86">
        <f t="shared" ref="D28:D50" si="29">SUMPRODUCT(F28:I28,V28:Y28)+SUMPRODUCT(J28:M28,V28:Y28)+SUMPRODUCT(N28:Q28,V28:Y28)</f>
        <v>14124.95</v>
      </c>
      <c r="E28" s="86">
        <f t="shared" ref="E28:E50" si="30">SUMPRODUCT(R28:U28,V28:Y28)</f>
        <v>20911.480000000003</v>
      </c>
      <c r="F28" s="88">
        <v>25.72</v>
      </c>
      <c r="G28" s="88">
        <v>54.02</v>
      </c>
      <c r="H28" s="88">
        <v>49.94</v>
      </c>
      <c r="I28" s="88">
        <v>77.17</v>
      </c>
      <c r="J28" s="88">
        <v>136.55000000000001</v>
      </c>
      <c r="K28" s="88">
        <v>286.76</v>
      </c>
      <c r="L28" s="88">
        <v>259.45</v>
      </c>
      <c r="M28" s="88">
        <v>409.66</v>
      </c>
      <c r="N28" s="88">
        <v>54.02</v>
      </c>
      <c r="O28" s="88">
        <v>113.44</v>
      </c>
      <c r="P28" s="88">
        <v>102.64</v>
      </c>
      <c r="Q28" s="88">
        <v>162.05000000000001</v>
      </c>
      <c r="R28" s="88">
        <v>320.24</v>
      </c>
      <c r="S28" s="88">
        <v>672.48</v>
      </c>
      <c r="T28" s="88">
        <v>608.45000000000005</v>
      </c>
      <c r="U28" s="88">
        <v>960.71</v>
      </c>
      <c r="V28" s="98">
        <f>27+1</f>
        <v>28</v>
      </c>
      <c r="W28" s="98">
        <v>4</v>
      </c>
      <c r="X28" s="98">
        <v>1</v>
      </c>
      <c r="Y28" s="98">
        <v>9</v>
      </c>
      <c r="Z28" s="87">
        <f t="shared" si="18"/>
        <v>42</v>
      </c>
      <c r="AA28" s="87">
        <v>70</v>
      </c>
      <c r="AB28" s="197">
        <f t="shared" si="16"/>
        <v>875.91075000000023</v>
      </c>
      <c r="AC28" s="197">
        <f t="shared" si="17"/>
        <v>486.61708333333343</v>
      </c>
      <c r="AD28" s="86">
        <v>0</v>
      </c>
      <c r="AE28" s="86">
        <v>0</v>
      </c>
      <c r="AF28" s="86">
        <v>0</v>
      </c>
      <c r="AG28" s="86">
        <v>0</v>
      </c>
      <c r="AH28" s="86">
        <f t="shared" si="21"/>
        <v>0</v>
      </c>
      <c r="AI28" s="88">
        <v>533.52</v>
      </c>
      <c r="AJ28" s="88">
        <v>1120.3699999999999</v>
      </c>
      <c r="AK28" s="88">
        <v>1013.69</v>
      </c>
      <c r="AL28" s="88">
        <v>1600.55</v>
      </c>
      <c r="AM28" s="88">
        <f t="shared" si="27"/>
        <v>60</v>
      </c>
      <c r="AN28" s="88">
        <f t="shared" si="28"/>
        <v>60</v>
      </c>
      <c r="AO28" s="88">
        <f t="shared" si="28"/>
        <v>60</v>
      </c>
      <c r="AP28" s="88">
        <f t="shared" si="28"/>
        <v>60</v>
      </c>
      <c r="AQ28" s="86">
        <v>2557</v>
      </c>
      <c r="AR28" s="98">
        <v>28</v>
      </c>
      <c r="AS28" s="98">
        <v>4</v>
      </c>
      <c r="AT28" s="98">
        <v>1</v>
      </c>
      <c r="AU28" s="98">
        <v>9</v>
      </c>
      <c r="AV28" s="90">
        <f t="shared" si="19"/>
        <v>42</v>
      </c>
      <c r="AW28" s="88">
        <v>33.630000000000003</v>
      </c>
      <c r="AX28" s="88">
        <v>67.27</v>
      </c>
      <c r="AY28" s="88">
        <v>88.39</v>
      </c>
      <c r="AZ28" s="88">
        <v>134.97999999999999</v>
      </c>
      <c r="BA28" s="88">
        <f t="shared" si="22"/>
        <v>2513.9300000000003</v>
      </c>
      <c r="BB28" s="88">
        <f t="shared" si="4"/>
        <v>2958.9299999999994</v>
      </c>
      <c r="BC28" s="86">
        <f t="shared" si="5"/>
        <v>0</v>
      </c>
      <c r="BD28" s="88">
        <f t="shared" ref="BD28:BD38" si="31">BB28+BC28</f>
        <v>2958.9299999999994</v>
      </c>
      <c r="BE28" s="88">
        <v>39.799999999999997</v>
      </c>
      <c r="BF28" s="88">
        <v>79.959999999999994</v>
      </c>
      <c r="BG28" s="88">
        <v>103.68</v>
      </c>
      <c r="BH28" s="88">
        <v>157.88999999999999</v>
      </c>
      <c r="BI28" s="88">
        <v>0</v>
      </c>
      <c r="BJ28" s="88">
        <v>0</v>
      </c>
      <c r="BK28" s="88">
        <v>0</v>
      </c>
      <c r="BL28" s="88">
        <v>0</v>
      </c>
      <c r="BM28" s="86">
        <v>0</v>
      </c>
      <c r="BN28" s="98">
        <v>24</v>
      </c>
      <c r="BO28" s="98">
        <v>4</v>
      </c>
      <c r="BP28" s="98">
        <v>1</v>
      </c>
      <c r="BQ28" s="98">
        <v>9</v>
      </c>
      <c r="BR28" s="88">
        <f t="shared" si="7"/>
        <v>378.90000000000003</v>
      </c>
      <c r="BS28" s="86">
        <f t="shared" si="8"/>
        <v>0</v>
      </c>
      <c r="BT28" s="86">
        <f>BR28+BS28</f>
        <v>378.90000000000003</v>
      </c>
      <c r="BU28" s="90">
        <f t="shared" si="20"/>
        <v>38</v>
      </c>
      <c r="BV28" s="88">
        <v>6.48</v>
      </c>
      <c r="BW28" s="88">
        <v>11.77</v>
      </c>
      <c r="BX28" s="88">
        <v>11.87</v>
      </c>
      <c r="BY28" s="88">
        <v>18.27</v>
      </c>
      <c r="BZ28" s="88">
        <v>0</v>
      </c>
      <c r="CA28" s="88">
        <v>0</v>
      </c>
      <c r="CB28" s="88">
        <v>0</v>
      </c>
      <c r="CC28" s="88">
        <v>0</v>
      </c>
      <c r="CD28" s="96">
        <f>311.69+95.9</f>
        <v>407.59000000000003</v>
      </c>
      <c r="CE28" s="96">
        <v>767.75</v>
      </c>
      <c r="CF28" s="186">
        <v>950.96</v>
      </c>
    </row>
    <row r="29" spans="1:84" s="87" customFormat="1" ht="12" customHeight="1" x14ac:dyDescent="0.2">
      <c r="A29" s="166">
        <f t="shared" si="11"/>
        <v>43907</v>
      </c>
      <c r="B29" s="86">
        <v>13738.82</v>
      </c>
      <c r="C29" s="86">
        <v>0</v>
      </c>
      <c r="D29" s="86">
        <f t="shared" si="29"/>
        <v>13476.07</v>
      </c>
      <c r="E29" s="86">
        <f t="shared" si="30"/>
        <v>19950.770000000004</v>
      </c>
      <c r="F29" s="88">
        <v>25.72</v>
      </c>
      <c r="G29" s="88">
        <v>54.02</v>
      </c>
      <c r="H29" s="88">
        <v>49.94</v>
      </c>
      <c r="I29" s="88">
        <v>77.17</v>
      </c>
      <c r="J29" s="88">
        <v>136.55000000000001</v>
      </c>
      <c r="K29" s="88">
        <v>286.76</v>
      </c>
      <c r="L29" s="88">
        <v>259.45</v>
      </c>
      <c r="M29" s="88">
        <v>409.66</v>
      </c>
      <c r="N29" s="88">
        <v>54.02</v>
      </c>
      <c r="O29" s="88">
        <v>113.44</v>
      </c>
      <c r="P29" s="88">
        <v>102.64</v>
      </c>
      <c r="Q29" s="88">
        <v>162.05000000000001</v>
      </c>
      <c r="R29" s="88">
        <v>320.24</v>
      </c>
      <c r="S29" s="88">
        <v>672.48</v>
      </c>
      <c r="T29" s="88">
        <v>608.45000000000005</v>
      </c>
      <c r="U29" s="88">
        <v>960.71</v>
      </c>
      <c r="V29" s="98">
        <f>27+1</f>
        <v>28</v>
      </c>
      <c r="W29" s="98">
        <v>4</v>
      </c>
      <c r="X29" s="98">
        <v>1</v>
      </c>
      <c r="Y29" s="98">
        <v>8</v>
      </c>
      <c r="Z29" s="87">
        <f t="shared" si="18"/>
        <v>41</v>
      </c>
      <c r="AA29" s="87">
        <v>66</v>
      </c>
      <c r="AB29" s="197">
        <f t="shared" si="16"/>
        <v>759.70090909090914</v>
      </c>
      <c r="AC29" s="197">
        <f t="shared" si="17"/>
        <v>457.90191780821925</v>
      </c>
      <c r="AD29" s="86">
        <v>0</v>
      </c>
      <c r="AE29" s="86">
        <v>0</v>
      </c>
      <c r="AF29" s="86">
        <v>0</v>
      </c>
      <c r="AG29" s="86">
        <v>0</v>
      </c>
      <c r="AH29" s="86">
        <f t="shared" si="21"/>
        <v>0</v>
      </c>
      <c r="AI29" s="88">
        <v>533.52</v>
      </c>
      <c r="AJ29" s="88">
        <v>1120.3699999999999</v>
      </c>
      <c r="AK29" s="88">
        <v>1013.69</v>
      </c>
      <c r="AL29" s="88">
        <v>1600.55</v>
      </c>
      <c r="AM29" s="88">
        <f t="shared" si="27"/>
        <v>60</v>
      </c>
      <c r="AN29" s="88">
        <f t="shared" si="28"/>
        <v>60</v>
      </c>
      <c r="AO29" s="88">
        <f t="shared" si="28"/>
        <v>60</v>
      </c>
      <c r="AP29" s="88">
        <f t="shared" si="28"/>
        <v>60</v>
      </c>
      <c r="AQ29" s="86">
        <v>2211.84</v>
      </c>
      <c r="AR29" s="98">
        <v>28</v>
      </c>
      <c r="AS29" s="98">
        <v>4</v>
      </c>
      <c r="AT29" s="98">
        <v>1</v>
      </c>
      <c r="AU29" s="98">
        <v>8</v>
      </c>
      <c r="AV29" s="90">
        <f t="shared" si="19"/>
        <v>41</v>
      </c>
      <c r="AW29" s="88">
        <v>33.630000000000003</v>
      </c>
      <c r="AX29" s="88">
        <v>67.27</v>
      </c>
      <c r="AY29" s="88">
        <v>88.39</v>
      </c>
      <c r="AZ29" s="88">
        <v>134.97999999999999</v>
      </c>
      <c r="BA29" s="88">
        <f t="shared" si="22"/>
        <v>2378.9499999999998</v>
      </c>
      <c r="BB29" s="88">
        <f t="shared" si="4"/>
        <v>2801.04</v>
      </c>
      <c r="BC29" s="86">
        <f t="shared" si="5"/>
        <v>0</v>
      </c>
      <c r="BD29" s="88">
        <f t="shared" si="31"/>
        <v>2801.04</v>
      </c>
      <c r="BE29" s="88">
        <v>39.799999999999997</v>
      </c>
      <c r="BF29" s="88">
        <v>79.959999999999994</v>
      </c>
      <c r="BG29" s="88">
        <v>103.68</v>
      </c>
      <c r="BH29" s="88">
        <v>157.88999999999999</v>
      </c>
      <c r="BI29" s="88">
        <v>0</v>
      </c>
      <c r="BJ29" s="88">
        <v>0</v>
      </c>
      <c r="BK29" s="88">
        <v>0</v>
      </c>
      <c r="BL29" s="88">
        <v>0</v>
      </c>
      <c r="BM29" s="86">
        <v>631</v>
      </c>
      <c r="BN29" s="98">
        <v>25</v>
      </c>
      <c r="BO29" s="98">
        <v>4</v>
      </c>
      <c r="BP29" s="98">
        <v>1</v>
      </c>
      <c r="BQ29" s="98">
        <v>9</v>
      </c>
      <c r="BR29" s="88">
        <f t="shared" si="7"/>
        <v>385.38</v>
      </c>
      <c r="BS29" s="86">
        <f t="shared" si="8"/>
        <v>0</v>
      </c>
      <c r="BT29" s="86">
        <f>BR29+BS29</f>
        <v>385.38</v>
      </c>
      <c r="BU29" s="90">
        <f t="shared" si="20"/>
        <v>39</v>
      </c>
      <c r="BV29" s="88">
        <v>6.48</v>
      </c>
      <c r="BW29" s="88">
        <v>11.77</v>
      </c>
      <c r="BX29" s="88">
        <v>11.87</v>
      </c>
      <c r="BY29" s="88">
        <v>18.27</v>
      </c>
      <c r="BZ29" s="88">
        <v>0</v>
      </c>
      <c r="CA29" s="88">
        <v>0</v>
      </c>
      <c r="CB29" s="88">
        <v>0</v>
      </c>
      <c r="CC29" s="88">
        <v>0</v>
      </c>
      <c r="CD29" s="96">
        <f>298.69+91.9</f>
        <v>390.59000000000003</v>
      </c>
      <c r="CE29" s="96">
        <v>707</v>
      </c>
      <c r="CF29" s="186">
        <v>896.96</v>
      </c>
    </row>
    <row r="30" spans="1:84" s="87" customFormat="1" ht="12" customHeight="1" x14ac:dyDescent="0.2">
      <c r="A30" s="166">
        <f t="shared" si="11"/>
        <v>43938</v>
      </c>
      <c r="B30" s="86">
        <v>1620.19</v>
      </c>
      <c r="C30" s="86">
        <v>0</v>
      </c>
      <c r="D30" s="86">
        <f t="shared" si="29"/>
        <v>13888.1</v>
      </c>
      <c r="E30" s="86">
        <f t="shared" si="30"/>
        <v>20559.22</v>
      </c>
      <c r="F30" s="88">
        <v>25.72</v>
      </c>
      <c r="G30" s="88">
        <v>54.02</v>
      </c>
      <c r="H30" s="88">
        <v>49.94</v>
      </c>
      <c r="I30" s="88">
        <v>77.17</v>
      </c>
      <c r="J30" s="88">
        <v>136.55000000000001</v>
      </c>
      <c r="K30" s="88">
        <v>286.76</v>
      </c>
      <c r="L30" s="88">
        <v>259.45</v>
      </c>
      <c r="M30" s="88">
        <v>409.66</v>
      </c>
      <c r="N30" s="88">
        <v>54.02</v>
      </c>
      <c r="O30" s="88">
        <v>113.44</v>
      </c>
      <c r="P30" s="88">
        <v>102.64</v>
      </c>
      <c r="Q30" s="88">
        <v>162.05000000000001</v>
      </c>
      <c r="R30" s="88">
        <v>320.24</v>
      </c>
      <c r="S30" s="88">
        <v>672.48</v>
      </c>
      <c r="T30" s="88">
        <v>608.45000000000005</v>
      </c>
      <c r="U30" s="88">
        <v>960.71</v>
      </c>
      <c r="V30" s="98">
        <v>28</v>
      </c>
      <c r="W30" s="98">
        <v>4</v>
      </c>
      <c r="X30" s="98">
        <v>2</v>
      </c>
      <c r="Y30" s="98">
        <v>8</v>
      </c>
      <c r="Z30" s="98">
        <f t="shared" si="18"/>
        <v>42</v>
      </c>
      <c r="AA30" s="98">
        <v>67</v>
      </c>
      <c r="AB30" s="197">
        <f t="shared" si="16"/>
        <v>820.1742857142857</v>
      </c>
      <c r="AC30" s="197">
        <f t="shared" si="17"/>
        <v>492.10457142857143</v>
      </c>
      <c r="AD30" s="86">
        <v>0</v>
      </c>
      <c r="AE30" s="86">
        <v>0</v>
      </c>
      <c r="AF30" s="86">
        <v>0</v>
      </c>
      <c r="AG30" s="86">
        <v>0</v>
      </c>
      <c r="AH30" s="86">
        <f t="shared" si="21"/>
        <v>0</v>
      </c>
      <c r="AI30" s="88">
        <v>533.52</v>
      </c>
      <c r="AJ30" s="88">
        <v>1120.3699999999999</v>
      </c>
      <c r="AK30" s="88">
        <v>1013.69</v>
      </c>
      <c r="AL30" s="88">
        <v>1600.55</v>
      </c>
      <c r="AM30" s="88">
        <f t="shared" si="27"/>
        <v>60</v>
      </c>
      <c r="AN30" s="88">
        <f t="shared" si="28"/>
        <v>60</v>
      </c>
      <c r="AO30" s="88">
        <f t="shared" si="28"/>
        <v>60</v>
      </c>
      <c r="AP30" s="88">
        <f t="shared" si="28"/>
        <v>60</v>
      </c>
      <c r="AQ30" s="99">
        <v>-1248.69</v>
      </c>
      <c r="AR30" s="98">
        <v>28</v>
      </c>
      <c r="AS30" s="98">
        <v>4</v>
      </c>
      <c r="AT30" s="98">
        <v>2</v>
      </c>
      <c r="AU30" s="98">
        <v>8</v>
      </c>
      <c r="AV30" s="90">
        <f t="shared" si="19"/>
        <v>42</v>
      </c>
      <c r="AW30" s="88">
        <v>33.630000000000003</v>
      </c>
      <c r="AX30" s="88">
        <v>67.27</v>
      </c>
      <c r="AY30" s="88">
        <v>88.39</v>
      </c>
      <c r="AZ30" s="88">
        <v>134.97999999999999</v>
      </c>
      <c r="BA30" s="88">
        <f t="shared" si="22"/>
        <v>2467.34</v>
      </c>
      <c r="BB30" s="88">
        <f t="shared" si="4"/>
        <v>2904.72</v>
      </c>
      <c r="BC30" s="86">
        <f t="shared" si="5"/>
        <v>0</v>
      </c>
      <c r="BD30" s="88">
        <f t="shared" si="31"/>
        <v>2904.72</v>
      </c>
      <c r="BE30" s="88">
        <v>39.799999999999997</v>
      </c>
      <c r="BF30" s="88">
        <v>79.959999999999994</v>
      </c>
      <c r="BG30" s="88">
        <v>103.68</v>
      </c>
      <c r="BH30" s="88">
        <v>157.88999999999999</v>
      </c>
      <c r="BI30" s="88">
        <v>0</v>
      </c>
      <c r="BJ30" s="88">
        <v>0</v>
      </c>
      <c r="BK30" s="88">
        <v>0</v>
      </c>
      <c r="BL30" s="88">
        <v>0</v>
      </c>
      <c r="BM30" s="99">
        <v>0</v>
      </c>
      <c r="BN30" s="98">
        <v>26</v>
      </c>
      <c r="BO30" s="98">
        <v>4</v>
      </c>
      <c r="BP30" s="98">
        <v>2</v>
      </c>
      <c r="BQ30" s="98">
        <v>8</v>
      </c>
      <c r="BR30" s="88">
        <f t="shared" si="7"/>
        <v>385.46000000000004</v>
      </c>
      <c r="BS30" s="86">
        <f t="shared" si="8"/>
        <v>0</v>
      </c>
      <c r="BT30" s="86">
        <f t="shared" ref="BT30:BT38" si="32">BR30+BS30</f>
        <v>385.46000000000004</v>
      </c>
      <c r="BU30" s="90">
        <f t="shared" si="20"/>
        <v>40</v>
      </c>
      <c r="BV30" s="88">
        <v>6.48</v>
      </c>
      <c r="BW30" s="88">
        <v>11.77</v>
      </c>
      <c r="BX30" s="88">
        <v>11.87</v>
      </c>
      <c r="BY30" s="88">
        <v>18.27</v>
      </c>
      <c r="BZ30" s="88">
        <v>0</v>
      </c>
      <c r="CA30" s="88">
        <v>0</v>
      </c>
      <c r="CB30" s="88">
        <v>0</v>
      </c>
      <c r="CC30" s="88">
        <v>0</v>
      </c>
      <c r="CD30" s="96">
        <f>370.19+113.9</f>
        <v>484.09000000000003</v>
      </c>
      <c r="CE30" s="96">
        <v>796.03</v>
      </c>
      <c r="CF30" s="186">
        <v>1020.05</v>
      </c>
    </row>
    <row r="31" spans="1:84" s="87" customFormat="1" ht="12" customHeight="1" x14ac:dyDescent="0.2">
      <c r="A31" s="166">
        <f t="shared" si="11"/>
        <v>43969</v>
      </c>
      <c r="B31" s="86">
        <v>2568.16</v>
      </c>
      <c r="C31" s="86">
        <v>0</v>
      </c>
      <c r="D31" s="86">
        <f t="shared" si="29"/>
        <v>13433.880000000001</v>
      </c>
      <c r="E31" s="86">
        <f t="shared" si="30"/>
        <v>19886.740000000002</v>
      </c>
      <c r="F31" s="88">
        <v>25.72</v>
      </c>
      <c r="G31" s="88">
        <v>54.02</v>
      </c>
      <c r="H31" s="88">
        <v>49.94</v>
      </c>
      <c r="I31" s="88">
        <v>77.17</v>
      </c>
      <c r="J31" s="88">
        <v>136.55000000000001</v>
      </c>
      <c r="K31" s="88">
        <v>286.76</v>
      </c>
      <c r="L31" s="88">
        <v>259.45</v>
      </c>
      <c r="M31" s="88">
        <v>409.66</v>
      </c>
      <c r="N31" s="88">
        <v>54.02</v>
      </c>
      <c r="O31" s="88">
        <v>113.44</v>
      </c>
      <c r="P31" s="88">
        <v>102.64</v>
      </c>
      <c r="Q31" s="88">
        <v>162.05000000000001</v>
      </c>
      <c r="R31" s="88">
        <v>320.24</v>
      </c>
      <c r="S31" s="88">
        <v>672.48</v>
      </c>
      <c r="T31" s="88">
        <v>608.45000000000005</v>
      </c>
      <c r="U31" s="88">
        <v>960.71</v>
      </c>
      <c r="V31" s="87">
        <v>28</v>
      </c>
      <c r="W31" s="87">
        <v>3</v>
      </c>
      <c r="X31" s="87">
        <v>2</v>
      </c>
      <c r="Y31" s="87">
        <v>8</v>
      </c>
      <c r="Z31" s="87">
        <f t="shared" si="18"/>
        <v>41</v>
      </c>
      <c r="AA31" s="87">
        <v>67</v>
      </c>
      <c r="AB31" s="197">
        <f t="shared" si="16"/>
        <v>812.69804878048785</v>
      </c>
      <c r="AC31" s="197">
        <f t="shared" si="17"/>
        <v>504.8578787878788</v>
      </c>
      <c r="AD31" s="86">
        <v>0</v>
      </c>
      <c r="AE31" s="86">
        <v>0</v>
      </c>
      <c r="AF31" s="86">
        <v>0</v>
      </c>
      <c r="AG31" s="86">
        <v>0</v>
      </c>
      <c r="AH31" s="86">
        <f t="shared" si="21"/>
        <v>0</v>
      </c>
      <c r="AI31" s="88">
        <v>533.52</v>
      </c>
      <c r="AJ31" s="88">
        <v>1120.3699999999999</v>
      </c>
      <c r="AK31" s="88">
        <v>1013.69</v>
      </c>
      <c r="AL31" s="88">
        <v>1600.55</v>
      </c>
      <c r="AM31" s="88">
        <f t="shared" si="27"/>
        <v>60</v>
      </c>
      <c r="AN31" s="88">
        <f t="shared" si="28"/>
        <v>60</v>
      </c>
      <c r="AO31" s="88">
        <f t="shared" si="28"/>
        <v>60</v>
      </c>
      <c r="AP31" s="88">
        <f t="shared" si="28"/>
        <v>60</v>
      </c>
      <c r="AQ31" s="86">
        <v>0</v>
      </c>
      <c r="AR31" s="87">
        <v>28</v>
      </c>
      <c r="AS31" s="87">
        <v>3</v>
      </c>
      <c r="AT31" s="87">
        <v>2</v>
      </c>
      <c r="AU31" s="87">
        <v>8</v>
      </c>
      <c r="AV31" s="90">
        <f t="shared" si="19"/>
        <v>41</v>
      </c>
      <c r="AW31" s="88">
        <v>33.630000000000003</v>
      </c>
      <c r="AX31" s="88">
        <v>67.27</v>
      </c>
      <c r="AY31" s="88">
        <v>88.39</v>
      </c>
      <c r="AZ31" s="88">
        <v>134.97999999999999</v>
      </c>
      <c r="BA31" s="88">
        <f t="shared" si="22"/>
        <v>2400.0699999999997</v>
      </c>
      <c r="BB31" s="88">
        <f t="shared" si="4"/>
        <v>2824.7599999999998</v>
      </c>
      <c r="BC31" s="86">
        <f t="shared" si="5"/>
        <v>0</v>
      </c>
      <c r="BD31" s="88">
        <f t="shared" si="31"/>
        <v>2824.7599999999998</v>
      </c>
      <c r="BE31" s="88">
        <v>39.799999999999997</v>
      </c>
      <c r="BF31" s="88">
        <v>79.959999999999994</v>
      </c>
      <c r="BG31" s="88">
        <v>103.68</v>
      </c>
      <c r="BH31" s="88">
        <v>157.88999999999999</v>
      </c>
      <c r="BI31" s="88">
        <v>0</v>
      </c>
      <c r="BJ31" s="88">
        <v>0</v>
      </c>
      <c r="BK31" s="88">
        <v>0</v>
      </c>
      <c r="BL31" s="88">
        <v>0</v>
      </c>
      <c r="BM31" s="86">
        <v>0</v>
      </c>
      <c r="BN31" s="87">
        <v>26</v>
      </c>
      <c r="BO31" s="87">
        <v>3</v>
      </c>
      <c r="BP31" s="87">
        <v>2</v>
      </c>
      <c r="BQ31" s="87">
        <v>8</v>
      </c>
      <c r="BR31" s="88">
        <f t="shared" si="7"/>
        <v>373.69000000000005</v>
      </c>
      <c r="BS31" s="86">
        <f t="shared" si="8"/>
        <v>0</v>
      </c>
      <c r="BT31" s="86">
        <f t="shared" si="32"/>
        <v>373.69000000000005</v>
      </c>
      <c r="BU31" s="90">
        <f t="shared" si="20"/>
        <v>39</v>
      </c>
      <c r="BV31" s="88">
        <v>6.48</v>
      </c>
      <c r="BW31" s="88">
        <v>11.77</v>
      </c>
      <c r="BX31" s="88">
        <v>11.87</v>
      </c>
      <c r="BY31" s="88">
        <v>18.27</v>
      </c>
      <c r="BZ31" s="88">
        <v>0</v>
      </c>
      <c r="CA31" s="88">
        <v>0</v>
      </c>
      <c r="CB31" s="88">
        <v>0</v>
      </c>
      <c r="CC31" s="88">
        <v>0</v>
      </c>
      <c r="CD31" s="88">
        <f>370.19+113.9</f>
        <v>484.09000000000003</v>
      </c>
      <c r="CE31" s="88">
        <v>796.03</v>
      </c>
      <c r="CF31" s="167">
        <v>1020.05</v>
      </c>
    </row>
    <row r="32" spans="1:84" s="87" customFormat="1" ht="12" customHeight="1" x14ac:dyDescent="0.2">
      <c r="A32" s="166">
        <v>43983</v>
      </c>
      <c r="B32" s="86">
        <v>2134.59</v>
      </c>
      <c r="C32" s="86">
        <v>0</v>
      </c>
      <c r="D32" s="86">
        <f t="shared" si="29"/>
        <v>14082.760000000002</v>
      </c>
      <c r="E32" s="86">
        <f t="shared" si="30"/>
        <v>20847.45</v>
      </c>
      <c r="F32" s="88">
        <v>25.72</v>
      </c>
      <c r="G32" s="88">
        <v>54.02</v>
      </c>
      <c r="H32" s="88">
        <v>49.94</v>
      </c>
      <c r="I32" s="88">
        <v>77.17</v>
      </c>
      <c r="J32" s="88">
        <v>136.55000000000001</v>
      </c>
      <c r="K32" s="88">
        <v>286.76</v>
      </c>
      <c r="L32" s="88">
        <v>259.45</v>
      </c>
      <c r="M32" s="88">
        <v>409.66</v>
      </c>
      <c r="N32" s="88">
        <v>54.02</v>
      </c>
      <c r="O32" s="88">
        <v>113.44</v>
      </c>
      <c r="P32" s="88">
        <v>102.64</v>
      </c>
      <c r="Q32" s="88">
        <v>162.05000000000001</v>
      </c>
      <c r="R32" s="88">
        <v>320.24</v>
      </c>
      <c r="S32" s="88">
        <v>672.48</v>
      </c>
      <c r="T32" s="88">
        <v>608.45000000000005</v>
      </c>
      <c r="U32" s="88">
        <v>960.71</v>
      </c>
      <c r="V32" s="87">
        <v>28</v>
      </c>
      <c r="W32" s="87">
        <v>3</v>
      </c>
      <c r="X32" s="87">
        <v>2</v>
      </c>
      <c r="Y32" s="87">
        <v>9</v>
      </c>
      <c r="Z32" s="87">
        <f t="shared" si="18"/>
        <v>42</v>
      </c>
      <c r="AA32" s="87">
        <v>64</v>
      </c>
      <c r="AB32" s="197">
        <f t="shared" si="16"/>
        <v>831.67166666666685</v>
      </c>
      <c r="AC32" s="197">
        <f t="shared" si="17"/>
        <v>521.34641791044783</v>
      </c>
      <c r="AD32" s="86">
        <v>0</v>
      </c>
      <c r="AE32" s="86">
        <v>0</v>
      </c>
      <c r="AF32" s="86">
        <v>0</v>
      </c>
      <c r="AG32" s="86">
        <v>0</v>
      </c>
      <c r="AH32" s="86">
        <f t="shared" si="21"/>
        <v>0</v>
      </c>
      <c r="AI32" s="88">
        <v>533.52</v>
      </c>
      <c r="AJ32" s="88">
        <v>1120.3699999999999</v>
      </c>
      <c r="AK32" s="88">
        <v>1013.69</v>
      </c>
      <c r="AL32" s="88">
        <v>1600.55</v>
      </c>
      <c r="AM32" s="88">
        <f t="shared" si="27"/>
        <v>60</v>
      </c>
      <c r="AN32" s="88">
        <f t="shared" si="28"/>
        <v>60</v>
      </c>
      <c r="AO32" s="88">
        <f t="shared" si="28"/>
        <v>60</v>
      </c>
      <c r="AP32" s="88">
        <f t="shared" si="28"/>
        <v>60</v>
      </c>
      <c r="AQ32" s="86">
        <v>281.35000000000002</v>
      </c>
      <c r="AR32" s="87">
        <v>28</v>
      </c>
      <c r="AS32" s="87">
        <v>3</v>
      </c>
      <c r="AT32" s="87">
        <v>2</v>
      </c>
      <c r="AU32" s="87">
        <v>9</v>
      </c>
      <c r="AV32" s="90">
        <f t="shared" si="19"/>
        <v>42</v>
      </c>
      <c r="AW32" s="88">
        <v>33.630000000000003</v>
      </c>
      <c r="AX32" s="88">
        <v>67.27</v>
      </c>
      <c r="AY32" s="88">
        <v>88.39</v>
      </c>
      <c r="AZ32" s="88">
        <v>134.97999999999999</v>
      </c>
      <c r="BA32" s="88">
        <f t="shared" si="22"/>
        <v>2535.0500000000002</v>
      </c>
      <c r="BB32" s="88">
        <f t="shared" si="4"/>
        <v>2982.6499999999996</v>
      </c>
      <c r="BC32" s="86">
        <f t="shared" si="5"/>
        <v>0</v>
      </c>
      <c r="BD32" s="88">
        <f t="shared" si="31"/>
        <v>2982.6499999999996</v>
      </c>
      <c r="BE32" s="88">
        <v>39.799999999999997</v>
      </c>
      <c r="BF32" s="88">
        <v>79.959999999999994</v>
      </c>
      <c r="BG32" s="88">
        <v>103.68</v>
      </c>
      <c r="BH32" s="88">
        <v>157.88999999999999</v>
      </c>
      <c r="BI32" s="88">
        <v>0</v>
      </c>
      <c r="BJ32" s="88">
        <v>0</v>
      </c>
      <c r="BK32" s="88">
        <v>0</v>
      </c>
      <c r="BL32" s="88">
        <v>0</v>
      </c>
      <c r="BM32" s="86">
        <v>0</v>
      </c>
      <c r="BN32" s="87">
        <v>26</v>
      </c>
      <c r="BO32" s="87">
        <v>3</v>
      </c>
      <c r="BP32" s="87">
        <v>2</v>
      </c>
      <c r="BQ32" s="87">
        <v>9</v>
      </c>
      <c r="BR32" s="88">
        <f t="shared" si="7"/>
        <v>391.96000000000004</v>
      </c>
      <c r="BS32" s="86">
        <f t="shared" si="8"/>
        <v>0</v>
      </c>
      <c r="BT32" s="86">
        <f t="shared" si="32"/>
        <v>391.96000000000004</v>
      </c>
      <c r="BU32" s="90">
        <f t="shared" si="20"/>
        <v>40</v>
      </c>
      <c r="BV32" s="88">
        <v>6.48</v>
      </c>
      <c r="BW32" s="88">
        <v>11.77</v>
      </c>
      <c r="BX32" s="88">
        <v>11.87</v>
      </c>
      <c r="BY32" s="88">
        <v>18.27</v>
      </c>
      <c r="BZ32" s="88">
        <v>0</v>
      </c>
      <c r="CA32" s="88">
        <v>0</v>
      </c>
      <c r="CB32" s="88">
        <v>0</v>
      </c>
      <c r="CC32" s="88">
        <v>0</v>
      </c>
      <c r="CD32" s="88">
        <f>298.69+91.9</f>
        <v>390.59000000000003</v>
      </c>
      <c r="CE32" s="88">
        <v>1083.1600000000001</v>
      </c>
      <c r="CF32" s="167">
        <v>1170.72</v>
      </c>
    </row>
    <row r="33" spans="1:84" s="87" customFormat="1" ht="12" customHeight="1" x14ac:dyDescent="0.2">
      <c r="A33" s="166">
        <f t="shared" si="11"/>
        <v>44014</v>
      </c>
      <c r="B33" s="86">
        <v>4802.29</v>
      </c>
      <c r="C33" s="86">
        <v>0</v>
      </c>
      <c r="D33" s="86">
        <f t="shared" si="29"/>
        <v>14082.760000000002</v>
      </c>
      <c r="E33" s="86">
        <f t="shared" si="30"/>
        <v>20847.45</v>
      </c>
      <c r="F33" s="88">
        <v>25.72</v>
      </c>
      <c r="G33" s="88">
        <v>54.02</v>
      </c>
      <c r="H33" s="88">
        <v>49.94</v>
      </c>
      <c r="I33" s="88">
        <v>77.17</v>
      </c>
      <c r="J33" s="88">
        <v>136.55000000000001</v>
      </c>
      <c r="K33" s="88">
        <v>286.76</v>
      </c>
      <c r="L33" s="88">
        <v>259.45</v>
      </c>
      <c r="M33" s="88">
        <v>409.66</v>
      </c>
      <c r="N33" s="88">
        <v>54.02</v>
      </c>
      <c r="O33" s="88">
        <v>113.44</v>
      </c>
      <c r="P33" s="88">
        <v>102.64</v>
      </c>
      <c r="Q33" s="88">
        <v>162.05000000000001</v>
      </c>
      <c r="R33" s="88">
        <v>320.24</v>
      </c>
      <c r="S33" s="88">
        <v>672.48</v>
      </c>
      <c r="T33" s="88">
        <v>608.45000000000005</v>
      </c>
      <c r="U33" s="88">
        <v>960.71</v>
      </c>
      <c r="V33" s="87">
        <v>28</v>
      </c>
      <c r="W33" s="87">
        <v>3</v>
      </c>
      <c r="X33" s="87">
        <v>2</v>
      </c>
      <c r="Y33" s="87">
        <v>9</v>
      </c>
      <c r="Z33" s="87">
        <f t="shared" si="18"/>
        <v>42</v>
      </c>
      <c r="AA33" s="87">
        <v>64</v>
      </c>
      <c r="AB33" s="197">
        <f t="shared" si="16"/>
        <v>851.95634146341479</v>
      </c>
      <c r="AC33" s="197">
        <f t="shared" si="17"/>
        <v>521.34641791044783</v>
      </c>
      <c r="AD33" s="86">
        <v>0</v>
      </c>
      <c r="AE33" s="86">
        <v>0</v>
      </c>
      <c r="AF33" s="86">
        <v>0</v>
      </c>
      <c r="AG33" s="86">
        <v>0</v>
      </c>
      <c r="AH33" s="86">
        <f t="shared" si="21"/>
        <v>0</v>
      </c>
      <c r="AI33" s="88">
        <v>533.52</v>
      </c>
      <c r="AJ33" s="88">
        <v>1120.3699999999999</v>
      </c>
      <c r="AK33" s="88">
        <v>1013.69</v>
      </c>
      <c r="AL33" s="88">
        <v>1600.55</v>
      </c>
      <c r="AM33" s="88">
        <f t="shared" si="27"/>
        <v>60</v>
      </c>
      <c r="AN33" s="88">
        <f t="shared" si="28"/>
        <v>60</v>
      </c>
      <c r="AO33" s="88">
        <f t="shared" si="28"/>
        <v>60</v>
      </c>
      <c r="AP33" s="88">
        <f t="shared" si="28"/>
        <v>60</v>
      </c>
      <c r="AQ33" s="86">
        <v>1369</v>
      </c>
      <c r="AR33" s="87">
        <v>28</v>
      </c>
      <c r="AS33" s="87">
        <v>3</v>
      </c>
      <c r="AT33" s="87">
        <v>2</v>
      </c>
      <c r="AU33" s="87">
        <v>9</v>
      </c>
      <c r="AV33" s="90">
        <f t="shared" si="19"/>
        <v>42</v>
      </c>
      <c r="AW33" s="88">
        <v>33.630000000000003</v>
      </c>
      <c r="AX33" s="88">
        <v>67.27</v>
      </c>
      <c r="AY33" s="88">
        <v>88.39</v>
      </c>
      <c r="AZ33" s="88">
        <v>134.97999999999999</v>
      </c>
      <c r="BA33" s="88">
        <f t="shared" si="22"/>
        <v>2535.0500000000002</v>
      </c>
      <c r="BB33" s="88">
        <f t="shared" si="4"/>
        <v>2982.6499999999996</v>
      </c>
      <c r="BC33" s="86">
        <f t="shared" si="5"/>
        <v>0</v>
      </c>
      <c r="BD33" s="88">
        <f t="shared" si="31"/>
        <v>2982.6499999999996</v>
      </c>
      <c r="BE33" s="88">
        <v>39.799999999999997</v>
      </c>
      <c r="BF33" s="88">
        <v>79.959999999999994</v>
      </c>
      <c r="BG33" s="88">
        <v>103.68</v>
      </c>
      <c r="BH33" s="88">
        <v>157.88999999999999</v>
      </c>
      <c r="BI33" s="88">
        <v>0</v>
      </c>
      <c r="BJ33" s="88">
        <v>0</v>
      </c>
      <c r="BK33" s="88">
        <v>0</v>
      </c>
      <c r="BL33" s="88">
        <v>0</v>
      </c>
      <c r="BM33" s="86">
        <v>0</v>
      </c>
      <c r="BN33" s="87">
        <v>26</v>
      </c>
      <c r="BO33" s="87">
        <v>3</v>
      </c>
      <c r="BP33" s="87">
        <v>2</v>
      </c>
      <c r="BQ33" s="87">
        <v>9</v>
      </c>
      <c r="BR33" s="88">
        <f t="shared" si="7"/>
        <v>391.96000000000004</v>
      </c>
      <c r="BS33" s="86">
        <f t="shared" si="8"/>
        <v>0</v>
      </c>
      <c r="BT33" s="86">
        <f t="shared" si="32"/>
        <v>391.96000000000004</v>
      </c>
      <c r="BU33" s="90">
        <f t="shared" si="20"/>
        <v>40</v>
      </c>
      <c r="BV33" s="88">
        <v>6.48</v>
      </c>
      <c r="BW33" s="88">
        <v>11.77</v>
      </c>
      <c r="BX33" s="88">
        <v>11.87</v>
      </c>
      <c r="BY33" s="88">
        <v>18.27</v>
      </c>
      <c r="BZ33" s="88">
        <v>0</v>
      </c>
      <c r="CA33" s="88">
        <v>0</v>
      </c>
      <c r="CB33" s="88">
        <v>0</v>
      </c>
      <c r="CC33" s="88">
        <v>0</v>
      </c>
      <c r="CD33" s="88">
        <f>298.69+91.9</f>
        <v>390.59000000000003</v>
      </c>
      <c r="CE33" s="88">
        <v>724.39</v>
      </c>
      <c r="CF33" s="167">
        <v>902</v>
      </c>
    </row>
    <row r="34" spans="1:84" s="87" customFormat="1" ht="12" customHeight="1" x14ac:dyDescent="0.2">
      <c r="A34" s="166">
        <f t="shared" si="11"/>
        <v>44045</v>
      </c>
      <c r="B34" s="86">
        <v>20706.41</v>
      </c>
      <c r="C34" s="86">
        <v>0</v>
      </c>
      <c r="D34" s="86">
        <f t="shared" si="29"/>
        <v>13866.46</v>
      </c>
      <c r="E34" s="86">
        <f t="shared" si="30"/>
        <v>20527.22</v>
      </c>
      <c r="F34" s="88">
        <v>25.72</v>
      </c>
      <c r="G34" s="88">
        <v>54.02</v>
      </c>
      <c r="H34" s="88">
        <v>49.94</v>
      </c>
      <c r="I34" s="88">
        <v>77.17</v>
      </c>
      <c r="J34" s="88">
        <v>136.55000000000001</v>
      </c>
      <c r="K34" s="88">
        <v>286.76</v>
      </c>
      <c r="L34" s="88">
        <v>259.45</v>
      </c>
      <c r="M34" s="88">
        <v>409.66</v>
      </c>
      <c r="N34" s="88">
        <v>54.02</v>
      </c>
      <c r="O34" s="88">
        <v>113.44</v>
      </c>
      <c r="P34" s="88">
        <v>102.64</v>
      </c>
      <c r="Q34" s="88">
        <v>162.05000000000001</v>
      </c>
      <c r="R34" s="88">
        <v>320.24</v>
      </c>
      <c r="S34" s="88">
        <v>672.48</v>
      </c>
      <c r="T34" s="88">
        <v>608.45000000000005</v>
      </c>
      <c r="U34" s="88">
        <v>960.71</v>
      </c>
      <c r="V34" s="87">
        <v>30</v>
      </c>
      <c r="W34" s="87">
        <v>3</v>
      </c>
      <c r="X34" s="87">
        <v>2</v>
      </c>
      <c r="Y34" s="87">
        <v>8</v>
      </c>
      <c r="Z34" s="87">
        <f t="shared" si="18"/>
        <v>43</v>
      </c>
      <c r="AA34" s="87">
        <v>74</v>
      </c>
      <c r="AB34" s="197">
        <f t="shared" si="16"/>
        <v>818.89714285714285</v>
      </c>
      <c r="AC34" s="197">
        <f t="shared" si="17"/>
        <v>537.40125</v>
      </c>
      <c r="AD34" s="86">
        <v>0</v>
      </c>
      <c r="AE34" s="86">
        <v>0</v>
      </c>
      <c r="AF34" s="86">
        <v>0</v>
      </c>
      <c r="AG34" s="86">
        <v>0</v>
      </c>
      <c r="AH34" s="86">
        <f t="shared" si="21"/>
        <v>0</v>
      </c>
      <c r="AI34" s="88">
        <v>533.52</v>
      </c>
      <c r="AJ34" s="88">
        <v>1120.3699999999999</v>
      </c>
      <c r="AK34" s="88">
        <v>1013.69</v>
      </c>
      <c r="AL34" s="88">
        <v>1600.55</v>
      </c>
      <c r="AM34" s="88">
        <f t="shared" si="27"/>
        <v>60</v>
      </c>
      <c r="AN34" s="88">
        <f t="shared" si="28"/>
        <v>60</v>
      </c>
      <c r="AO34" s="88">
        <f t="shared" si="28"/>
        <v>60</v>
      </c>
      <c r="AP34" s="88">
        <f t="shared" si="28"/>
        <v>60</v>
      </c>
      <c r="AQ34" s="86">
        <v>567</v>
      </c>
      <c r="AR34" s="87">
        <v>30</v>
      </c>
      <c r="AS34" s="87">
        <v>3</v>
      </c>
      <c r="AT34" s="87">
        <v>2</v>
      </c>
      <c r="AU34" s="87">
        <v>8</v>
      </c>
      <c r="AV34" s="90">
        <f t="shared" si="19"/>
        <v>43</v>
      </c>
      <c r="AW34" s="88">
        <v>33.630000000000003</v>
      </c>
      <c r="AX34" s="88">
        <v>67.27</v>
      </c>
      <c r="AY34" s="88">
        <v>88.39</v>
      </c>
      <c r="AZ34" s="88">
        <v>134.97999999999999</v>
      </c>
      <c r="BA34" s="88">
        <f t="shared" si="22"/>
        <v>2467.33</v>
      </c>
      <c r="BB34" s="88">
        <f t="shared" si="4"/>
        <v>2904.36</v>
      </c>
      <c r="BC34" s="86">
        <f t="shared" si="5"/>
        <v>0</v>
      </c>
      <c r="BD34" s="88">
        <f t="shared" si="31"/>
        <v>2904.36</v>
      </c>
      <c r="BE34" s="88">
        <v>39.799999999999997</v>
      </c>
      <c r="BF34" s="88">
        <v>79.959999999999994</v>
      </c>
      <c r="BG34" s="88">
        <v>103.68</v>
      </c>
      <c r="BH34" s="88">
        <v>157.88999999999999</v>
      </c>
      <c r="BI34" s="88">
        <v>0</v>
      </c>
      <c r="BJ34" s="88">
        <v>0</v>
      </c>
      <c r="BK34" s="88">
        <v>0</v>
      </c>
      <c r="BL34" s="88">
        <v>0</v>
      </c>
      <c r="BM34" s="86">
        <v>0</v>
      </c>
      <c r="BN34" s="87">
        <v>28</v>
      </c>
      <c r="BO34" s="87">
        <v>3</v>
      </c>
      <c r="BP34" s="87">
        <v>2</v>
      </c>
      <c r="BQ34" s="87">
        <v>8</v>
      </c>
      <c r="BR34" s="88">
        <f t="shared" si="7"/>
        <v>386.65</v>
      </c>
      <c r="BS34" s="86">
        <f t="shared" si="8"/>
        <v>0</v>
      </c>
      <c r="BT34" s="86">
        <f t="shared" si="32"/>
        <v>386.65</v>
      </c>
      <c r="BU34" s="90">
        <f t="shared" si="20"/>
        <v>41</v>
      </c>
      <c r="BV34" s="88">
        <v>6.48</v>
      </c>
      <c r="BW34" s="88">
        <v>11.77</v>
      </c>
      <c r="BX34" s="88">
        <v>11.87</v>
      </c>
      <c r="BY34" s="88">
        <v>18.27</v>
      </c>
      <c r="BZ34" s="88">
        <v>0</v>
      </c>
      <c r="CA34" s="88">
        <v>0</v>
      </c>
      <c r="CB34" s="88">
        <v>0</v>
      </c>
      <c r="CC34" s="88">
        <v>0</v>
      </c>
      <c r="CD34" s="88">
        <v>279.19</v>
      </c>
      <c r="CE34" s="88">
        <v>698.33</v>
      </c>
      <c r="CF34" s="167">
        <v>865.97</v>
      </c>
    </row>
    <row r="35" spans="1:84" s="87" customFormat="1" ht="12" customHeight="1" x14ac:dyDescent="0.2">
      <c r="A35" s="166">
        <f t="shared" si="11"/>
        <v>44076</v>
      </c>
      <c r="B35" s="86">
        <v>22968.41</v>
      </c>
      <c r="C35" s="86">
        <v>0</v>
      </c>
      <c r="D35" s="86">
        <f t="shared" si="29"/>
        <v>14515.34</v>
      </c>
      <c r="E35" s="86">
        <f t="shared" si="30"/>
        <v>21487.93</v>
      </c>
      <c r="F35" s="88">
        <v>25.72</v>
      </c>
      <c r="G35" s="88">
        <v>54.02</v>
      </c>
      <c r="H35" s="88">
        <v>49.94</v>
      </c>
      <c r="I35" s="88">
        <v>77.17</v>
      </c>
      <c r="J35" s="88">
        <v>136.55000000000001</v>
      </c>
      <c r="K35" s="88">
        <v>286.76</v>
      </c>
      <c r="L35" s="88">
        <v>259.45</v>
      </c>
      <c r="M35" s="88">
        <v>409.66</v>
      </c>
      <c r="N35" s="88">
        <v>54.02</v>
      </c>
      <c r="O35" s="88">
        <v>113.44</v>
      </c>
      <c r="P35" s="88">
        <v>102.64</v>
      </c>
      <c r="Q35" s="88">
        <v>162.05000000000001</v>
      </c>
      <c r="R35" s="88">
        <v>320.24</v>
      </c>
      <c r="S35" s="88">
        <v>672.48</v>
      </c>
      <c r="T35" s="88">
        <v>608.45000000000005</v>
      </c>
      <c r="U35" s="88">
        <v>960.71</v>
      </c>
      <c r="V35" s="87">
        <v>30</v>
      </c>
      <c r="W35" s="87">
        <v>3</v>
      </c>
      <c r="X35" s="87">
        <v>2</v>
      </c>
      <c r="Y35" s="87">
        <v>9</v>
      </c>
      <c r="Z35" s="87">
        <f t="shared" si="18"/>
        <v>44</v>
      </c>
      <c r="AA35" s="87">
        <v>74</v>
      </c>
      <c r="AB35" s="197">
        <f t="shared" si="16"/>
        <v>857.22071428571439</v>
      </c>
      <c r="AC35" s="197">
        <f t="shared" si="17"/>
        <v>562.55109375000006</v>
      </c>
      <c r="AD35" s="86">
        <v>0</v>
      </c>
      <c r="AE35" s="86">
        <v>0</v>
      </c>
      <c r="AF35" s="86">
        <v>0</v>
      </c>
      <c r="AG35" s="86">
        <v>0</v>
      </c>
      <c r="AH35" s="86">
        <f t="shared" si="21"/>
        <v>0</v>
      </c>
      <c r="AI35" s="88">
        <v>533.52</v>
      </c>
      <c r="AJ35" s="88">
        <v>1120.3699999999999</v>
      </c>
      <c r="AK35" s="88">
        <v>1013.69</v>
      </c>
      <c r="AL35" s="88">
        <v>1600.55</v>
      </c>
      <c r="AM35" s="88">
        <f t="shared" si="27"/>
        <v>60</v>
      </c>
      <c r="AN35" s="88">
        <f t="shared" si="28"/>
        <v>60</v>
      </c>
      <c r="AO35" s="88">
        <f t="shared" si="28"/>
        <v>60</v>
      </c>
      <c r="AP35" s="88">
        <f t="shared" si="28"/>
        <v>60</v>
      </c>
      <c r="AQ35" s="86">
        <v>702</v>
      </c>
      <c r="AR35" s="87">
        <v>30</v>
      </c>
      <c r="AS35" s="87">
        <v>3</v>
      </c>
      <c r="AT35" s="87">
        <v>2</v>
      </c>
      <c r="AU35" s="87">
        <v>9</v>
      </c>
      <c r="AV35" s="90">
        <f t="shared" si="19"/>
        <v>44</v>
      </c>
      <c r="AW35" s="88">
        <v>33.630000000000003</v>
      </c>
      <c r="AX35" s="88">
        <v>67.27</v>
      </c>
      <c r="AY35" s="88">
        <v>88.39</v>
      </c>
      <c r="AZ35" s="88">
        <v>134.97999999999999</v>
      </c>
      <c r="BA35" s="88">
        <f t="shared" si="22"/>
        <v>2602.31</v>
      </c>
      <c r="BB35" s="88">
        <f t="shared" si="4"/>
        <v>3062.25</v>
      </c>
      <c r="BC35" s="86">
        <f t="shared" si="5"/>
        <v>0</v>
      </c>
      <c r="BD35" s="88">
        <f t="shared" si="31"/>
        <v>3062.25</v>
      </c>
      <c r="BE35" s="88">
        <v>39.799999999999997</v>
      </c>
      <c r="BF35" s="88">
        <v>79.959999999999994</v>
      </c>
      <c r="BG35" s="88">
        <v>103.68</v>
      </c>
      <c r="BH35" s="88">
        <v>157.88999999999999</v>
      </c>
      <c r="BI35" s="88">
        <v>0</v>
      </c>
      <c r="BJ35" s="88">
        <v>0</v>
      </c>
      <c r="BK35" s="88">
        <v>0</v>
      </c>
      <c r="BL35" s="88">
        <v>0</v>
      </c>
      <c r="BM35" s="86">
        <v>0</v>
      </c>
      <c r="BN35" s="87">
        <v>28</v>
      </c>
      <c r="BO35" s="87">
        <v>3</v>
      </c>
      <c r="BP35" s="87">
        <v>2</v>
      </c>
      <c r="BQ35" s="87">
        <v>9</v>
      </c>
      <c r="BR35" s="88">
        <f t="shared" si="7"/>
        <v>404.92</v>
      </c>
      <c r="BS35" s="86">
        <f t="shared" si="8"/>
        <v>0</v>
      </c>
      <c r="BT35" s="86">
        <f t="shared" si="32"/>
        <v>404.92</v>
      </c>
      <c r="BU35" s="90">
        <f t="shared" si="20"/>
        <v>42</v>
      </c>
      <c r="BV35" s="88">
        <v>6.48</v>
      </c>
      <c r="BW35" s="88">
        <v>11.77</v>
      </c>
      <c r="BX35" s="88">
        <v>11.87</v>
      </c>
      <c r="BY35" s="88">
        <v>18.27</v>
      </c>
      <c r="BZ35" s="88">
        <v>0</v>
      </c>
      <c r="CA35" s="88">
        <v>0</v>
      </c>
      <c r="CB35" s="88">
        <v>0</v>
      </c>
      <c r="CC35" s="88">
        <v>0</v>
      </c>
      <c r="CD35" s="88">
        <v>285.69</v>
      </c>
      <c r="CE35" s="88">
        <v>706.43</v>
      </c>
      <c r="CF35" s="167">
        <v>877.18</v>
      </c>
    </row>
    <row r="36" spans="1:84" s="87" customFormat="1" ht="12" customHeight="1" x14ac:dyDescent="0.2">
      <c r="A36" s="166">
        <f t="shared" si="11"/>
        <v>44107</v>
      </c>
      <c r="B36" s="86">
        <v>15351.46</v>
      </c>
      <c r="C36" s="86">
        <v>0</v>
      </c>
      <c r="D36" s="86">
        <f t="shared" si="29"/>
        <v>15596.800000000001</v>
      </c>
      <c r="E36" s="86">
        <f t="shared" si="30"/>
        <v>23089.120000000003</v>
      </c>
      <c r="F36" s="88">
        <v>25.72</v>
      </c>
      <c r="G36" s="88">
        <v>54.02</v>
      </c>
      <c r="H36" s="88">
        <v>49.94</v>
      </c>
      <c r="I36" s="88">
        <v>77.17</v>
      </c>
      <c r="J36" s="88">
        <v>136.55000000000001</v>
      </c>
      <c r="K36" s="88">
        <v>286.76</v>
      </c>
      <c r="L36" s="88">
        <v>259.45</v>
      </c>
      <c r="M36" s="88">
        <v>409.66</v>
      </c>
      <c r="N36" s="88">
        <v>54.02</v>
      </c>
      <c r="O36" s="88">
        <v>113.44</v>
      </c>
      <c r="P36" s="88">
        <v>102.64</v>
      </c>
      <c r="Q36" s="88">
        <v>162.05000000000001</v>
      </c>
      <c r="R36" s="88">
        <v>320.24</v>
      </c>
      <c r="S36" s="88">
        <v>672.48</v>
      </c>
      <c r="T36" s="88">
        <v>608.45000000000005</v>
      </c>
      <c r="U36" s="88">
        <v>960.71</v>
      </c>
      <c r="V36" s="87">
        <v>32</v>
      </c>
      <c r="W36" s="87">
        <v>3</v>
      </c>
      <c r="X36" s="87">
        <v>2</v>
      </c>
      <c r="Y36" s="87">
        <v>10</v>
      </c>
      <c r="Z36" s="87">
        <f t="shared" si="18"/>
        <v>47</v>
      </c>
      <c r="AA36" s="87">
        <v>80</v>
      </c>
      <c r="AB36" s="197">
        <f t="shared" si="16"/>
        <v>899.672558139535</v>
      </c>
      <c r="AC36" s="197">
        <f t="shared" si="17"/>
        <v>522.78270270270275</v>
      </c>
      <c r="AD36" s="86">
        <v>0</v>
      </c>
      <c r="AE36" s="86">
        <v>0</v>
      </c>
      <c r="AF36" s="86">
        <v>0</v>
      </c>
      <c r="AG36" s="86">
        <v>0</v>
      </c>
      <c r="AH36" s="86">
        <f t="shared" si="21"/>
        <v>0</v>
      </c>
      <c r="AI36" s="88">
        <v>533.52</v>
      </c>
      <c r="AJ36" s="88">
        <v>1120.3699999999999</v>
      </c>
      <c r="AK36" s="88">
        <v>1013.69</v>
      </c>
      <c r="AL36" s="88">
        <v>1600.55</v>
      </c>
      <c r="AM36" s="88">
        <f t="shared" si="27"/>
        <v>60</v>
      </c>
      <c r="AN36" s="88">
        <f t="shared" si="28"/>
        <v>60</v>
      </c>
      <c r="AO36" s="88">
        <f t="shared" si="28"/>
        <v>60</v>
      </c>
      <c r="AP36" s="88">
        <f t="shared" si="28"/>
        <v>60</v>
      </c>
      <c r="AQ36" s="86">
        <v>1080.3599999999999</v>
      </c>
      <c r="AR36" s="87">
        <v>32</v>
      </c>
      <c r="AS36" s="87">
        <v>3</v>
      </c>
      <c r="AT36" s="87">
        <v>2</v>
      </c>
      <c r="AU36" s="87">
        <v>10</v>
      </c>
      <c r="AV36" s="90">
        <f t="shared" si="19"/>
        <v>47</v>
      </c>
      <c r="AW36" s="88">
        <v>33.630000000000003</v>
      </c>
      <c r="AX36" s="88">
        <v>67.27</v>
      </c>
      <c r="AY36" s="88">
        <v>88.39</v>
      </c>
      <c r="AZ36" s="88">
        <v>134.97999999999999</v>
      </c>
      <c r="BA36" s="88">
        <f t="shared" si="22"/>
        <v>2804.55</v>
      </c>
      <c r="BB36" s="88">
        <f t="shared" si="4"/>
        <v>3299.74</v>
      </c>
      <c r="BC36" s="86">
        <f t="shared" si="5"/>
        <v>0</v>
      </c>
      <c r="BD36" s="88">
        <f t="shared" si="31"/>
        <v>3299.74</v>
      </c>
      <c r="BE36" s="88">
        <v>39.799999999999997</v>
      </c>
      <c r="BF36" s="88">
        <v>79.959999999999994</v>
      </c>
      <c r="BG36" s="88">
        <v>103.68</v>
      </c>
      <c r="BH36" s="88">
        <v>157.88999999999999</v>
      </c>
      <c r="BI36" s="88">
        <v>0</v>
      </c>
      <c r="BJ36" s="88">
        <v>0</v>
      </c>
      <c r="BK36" s="88">
        <v>0</v>
      </c>
      <c r="BL36" s="88">
        <v>0</v>
      </c>
      <c r="BM36" s="86">
        <v>0</v>
      </c>
      <c r="BN36" s="87">
        <v>30</v>
      </c>
      <c r="BO36" s="87">
        <v>3</v>
      </c>
      <c r="BP36" s="87">
        <v>2</v>
      </c>
      <c r="BQ36" s="87">
        <v>10</v>
      </c>
      <c r="BR36" s="88">
        <f t="shared" si="7"/>
        <v>436.15</v>
      </c>
      <c r="BS36" s="86">
        <f t="shared" si="8"/>
        <v>0</v>
      </c>
      <c r="BT36" s="86">
        <f t="shared" si="32"/>
        <v>436.15</v>
      </c>
      <c r="BU36" s="90">
        <f t="shared" si="20"/>
        <v>45</v>
      </c>
      <c r="BV36" s="88">
        <v>6.48</v>
      </c>
      <c r="BW36" s="88">
        <v>11.77</v>
      </c>
      <c r="BX36" s="88">
        <v>11.87</v>
      </c>
      <c r="BY36" s="88">
        <v>18.27</v>
      </c>
      <c r="BZ36" s="88">
        <v>0</v>
      </c>
      <c r="CA36" s="88">
        <v>0</v>
      </c>
      <c r="CB36" s="88">
        <v>0</v>
      </c>
      <c r="CC36" s="88">
        <v>0</v>
      </c>
      <c r="CD36" s="88">
        <v>341.92</v>
      </c>
      <c r="CE36" s="88">
        <v>966.87</v>
      </c>
      <c r="CF36" s="167">
        <v>1117.3499999999999</v>
      </c>
    </row>
    <row r="37" spans="1:84" s="87" customFormat="1" ht="12" customHeight="1" x14ac:dyDescent="0.2">
      <c r="A37" s="166">
        <f t="shared" si="11"/>
        <v>44138</v>
      </c>
      <c r="B37" s="86">
        <v>6722.5</v>
      </c>
      <c r="C37" s="86">
        <v>0</v>
      </c>
      <c r="D37" s="86">
        <f t="shared" si="29"/>
        <v>16461.97</v>
      </c>
      <c r="E37" s="86">
        <f t="shared" si="30"/>
        <v>24370.07</v>
      </c>
      <c r="F37" s="88">
        <v>25.72</v>
      </c>
      <c r="G37" s="88">
        <v>54.02</v>
      </c>
      <c r="H37" s="88">
        <v>49.94</v>
      </c>
      <c r="I37" s="88">
        <v>77.17</v>
      </c>
      <c r="J37" s="88">
        <v>136.55000000000001</v>
      </c>
      <c r="K37" s="88">
        <v>286.76</v>
      </c>
      <c r="L37" s="88">
        <v>259.45</v>
      </c>
      <c r="M37" s="88">
        <v>409.66</v>
      </c>
      <c r="N37" s="88">
        <v>54.02</v>
      </c>
      <c r="O37" s="88">
        <v>113.44</v>
      </c>
      <c r="P37" s="88">
        <v>102.64</v>
      </c>
      <c r="Q37" s="88">
        <v>162.05000000000001</v>
      </c>
      <c r="R37" s="88">
        <v>320.24</v>
      </c>
      <c r="S37" s="88">
        <v>672.48</v>
      </c>
      <c r="T37" s="88">
        <v>608.45000000000005</v>
      </c>
      <c r="U37" s="88">
        <v>960.71</v>
      </c>
      <c r="V37" s="87">
        <v>33</v>
      </c>
      <c r="W37" s="87">
        <v>3</v>
      </c>
      <c r="X37" s="87">
        <v>2</v>
      </c>
      <c r="Y37" s="87">
        <v>11</v>
      </c>
      <c r="Z37" s="87">
        <f t="shared" si="18"/>
        <v>49</v>
      </c>
      <c r="AA37" s="87">
        <v>84</v>
      </c>
      <c r="AB37" s="197">
        <f t="shared" si="16"/>
        <v>928.00090909090909</v>
      </c>
      <c r="AC37" s="197">
        <f t="shared" si="17"/>
        <v>551.7843243243243</v>
      </c>
      <c r="AD37" s="86">
        <v>0</v>
      </c>
      <c r="AE37" s="86">
        <v>0</v>
      </c>
      <c r="AF37" s="86">
        <v>0</v>
      </c>
      <c r="AG37" s="86">
        <v>0</v>
      </c>
      <c r="AH37" s="86">
        <f t="shared" si="21"/>
        <v>0</v>
      </c>
      <c r="AI37" s="88">
        <v>533.52</v>
      </c>
      <c r="AJ37" s="88">
        <v>1120.3699999999999</v>
      </c>
      <c r="AK37" s="88">
        <v>1013.69</v>
      </c>
      <c r="AL37" s="88">
        <v>1600.55</v>
      </c>
      <c r="AM37" s="88">
        <f t="shared" si="27"/>
        <v>60</v>
      </c>
      <c r="AN37" s="88">
        <f t="shared" si="28"/>
        <v>60</v>
      </c>
      <c r="AO37" s="88">
        <f t="shared" si="28"/>
        <v>60</v>
      </c>
      <c r="AP37" s="88">
        <f t="shared" si="28"/>
        <v>60</v>
      </c>
      <c r="AQ37" s="86">
        <v>1007</v>
      </c>
      <c r="AR37" s="87">
        <v>33</v>
      </c>
      <c r="AS37" s="87">
        <v>3</v>
      </c>
      <c r="AT37" s="87">
        <v>2</v>
      </c>
      <c r="AU37" s="87">
        <v>11</v>
      </c>
      <c r="AV37" s="90">
        <f t="shared" si="19"/>
        <v>49</v>
      </c>
      <c r="AW37" s="88">
        <v>33.630000000000003</v>
      </c>
      <c r="AX37" s="88">
        <v>67.27</v>
      </c>
      <c r="AY37" s="88">
        <v>88.39</v>
      </c>
      <c r="AZ37" s="88">
        <v>134.97999999999999</v>
      </c>
      <c r="BA37" s="88">
        <f t="shared" si="22"/>
        <v>2973.16</v>
      </c>
      <c r="BB37" s="88">
        <f t="shared" si="4"/>
        <v>3497.43</v>
      </c>
      <c r="BC37" s="86">
        <f t="shared" si="5"/>
        <v>0</v>
      </c>
      <c r="BD37" s="88">
        <f t="shared" si="31"/>
        <v>3497.43</v>
      </c>
      <c r="BE37" s="88">
        <v>39.799999999999997</v>
      </c>
      <c r="BF37" s="88">
        <v>79.959999999999994</v>
      </c>
      <c r="BG37" s="88">
        <v>103.68</v>
      </c>
      <c r="BH37" s="88">
        <v>157.88999999999999</v>
      </c>
      <c r="BI37" s="88">
        <v>0</v>
      </c>
      <c r="BJ37" s="88">
        <v>0</v>
      </c>
      <c r="BK37" s="88">
        <v>0</v>
      </c>
      <c r="BL37" s="88">
        <v>0</v>
      </c>
      <c r="BM37" s="86">
        <v>0</v>
      </c>
      <c r="BN37" s="87">
        <v>31</v>
      </c>
      <c r="BO37" s="87">
        <v>3</v>
      </c>
      <c r="BP37" s="87">
        <v>2</v>
      </c>
      <c r="BQ37" s="87">
        <v>11</v>
      </c>
      <c r="BR37" s="88">
        <f t="shared" si="7"/>
        <v>460.9</v>
      </c>
      <c r="BS37" s="86">
        <f t="shared" si="8"/>
        <v>0</v>
      </c>
      <c r="BT37" s="86">
        <f t="shared" si="32"/>
        <v>460.9</v>
      </c>
      <c r="BU37" s="90">
        <f t="shared" si="20"/>
        <v>47</v>
      </c>
      <c r="BV37" s="88">
        <v>6.48</v>
      </c>
      <c r="BW37" s="88">
        <v>11.77</v>
      </c>
      <c r="BX37" s="88">
        <v>11.87</v>
      </c>
      <c r="BY37" s="88">
        <v>18.27</v>
      </c>
      <c r="BZ37" s="88">
        <v>0</v>
      </c>
      <c r="CA37" s="88">
        <v>0</v>
      </c>
      <c r="CB37" s="88">
        <v>0</v>
      </c>
      <c r="CC37" s="88">
        <v>0</v>
      </c>
      <c r="CD37" s="88">
        <v>322.42</v>
      </c>
      <c r="CE37" s="88">
        <v>819.16</v>
      </c>
      <c r="CF37" s="167">
        <v>1003.19</v>
      </c>
    </row>
    <row r="38" spans="1:84" s="75" customFormat="1" ht="12.75" customHeight="1" thickBot="1" x14ac:dyDescent="0.25">
      <c r="A38" s="168">
        <f t="shared" si="11"/>
        <v>44169</v>
      </c>
      <c r="B38" s="91">
        <v>62161.37</v>
      </c>
      <c r="C38" s="91">
        <v>280.89999999999998</v>
      </c>
      <c r="D38" s="91">
        <f t="shared" si="29"/>
        <v>16678.260000000002</v>
      </c>
      <c r="E38" s="91">
        <f t="shared" si="30"/>
        <v>24690.31</v>
      </c>
      <c r="F38" s="74">
        <v>25.72</v>
      </c>
      <c r="G38" s="74">
        <v>54.02</v>
      </c>
      <c r="H38" s="74">
        <v>49.94</v>
      </c>
      <c r="I38" s="74">
        <v>77.17</v>
      </c>
      <c r="J38" s="74">
        <v>136.55000000000001</v>
      </c>
      <c r="K38" s="74">
        <v>286.76</v>
      </c>
      <c r="L38" s="74">
        <v>259.45</v>
      </c>
      <c r="M38" s="74">
        <v>409.66</v>
      </c>
      <c r="N38" s="74">
        <v>54.02</v>
      </c>
      <c r="O38" s="74">
        <v>113.44</v>
      </c>
      <c r="P38" s="74">
        <v>102.64</v>
      </c>
      <c r="Q38" s="74">
        <v>162.05000000000001</v>
      </c>
      <c r="R38" s="74">
        <v>320.24</v>
      </c>
      <c r="S38" s="74">
        <v>672.48</v>
      </c>
      <c r="T38" s="74">
        <v>608.45000000000005</v>
      </c>
      <c r="U38" s="74">
        <v>960.71</v>
      </c>
      <c r="V38" s="75">
        <v>34</v>
      </c>
      <c r="W38" s="75">
        <v>3</v>
      </c>
      <c r="X38" s="75">
        <v>2</v>
      </c>
      <c r="Y38" s="75">
        <v>11</v>
      </c>
      <c r="Z38" s="75">
        <f t="shared" si="18"/>
        <v>50</v>
      </c>
      <c r="AA38" s="75">
        <v>85</v>
      </c>
      <c r="AB38" s="204">
        <f t="shared" si="16"/>
        <v>880.18234042553206</v>
      </c>
      <c r="AC38" s="204">
        <f t="shared" si="17"/>
        <v>517.10712500000011</v>
      </c>
      <c r="AD38" s="91">
        <v>0</v>
      </c>
      <c r="AE38" s="91">
        <v>0</v>
      </c>
      <c r="AF38" s="91">
        <v>0</v>
      </c>
      <c r="AG38" s="91">
        <v>0</v>
      </c>
      <c r="AH38" s="91">
        <f t="shared" si="21"/>
        <v>0</v>
      </c>
      <c r="AI38" s="74">
        <v>533.52</v>
      </c>
      <c r="AJ38" s="74">
        <v>1120.3699999999999</v>
      </c>
      <c r="AK38" s="74">
        <v>1013.69</v>
      </c>
      <c r="AL38" s="74">
        <v>1600.55</v>
      </c>
      <c r="AM38" s="74">
        <f t="shared" si="27"/>
        <v>60</v>
      </c>
      <c r="AN38" s="74">
        <f t="shared" si="28"/>
        <v>60</v>
      </c>
      <c r="AO38" s="74">
        <f t="shared" si="28"/>
        <v>60</v>
      </c>
      <c r="AP38" s="74">
        <f t="shared" si="28"/>
        <v>60</v>
      </c>
      <c r="AQ38" s="91">
        <v>2754.98</v>
      </c>
      <c r="AR38" s="75">
        <v>34</v>
      </c>
      <c r="AS38" s="75">
        <v>3</v>
      </c>
      <c r="AT38" s="75">
        <v>2</v>
      </c>
      <c r="AU38" s="75">
        <v>11</v>
      </c>
      <c r="AV38" s="92">
        <f t="shared" si="19"/>
        <v>50</v>
      </c>
      <c r="AW38" s="74">
        <v>33.630000000000003</v>
      </c>
      <c r="AX38" s="74">
        <v>67.27</v>
      </c>
      <c r="AY38" s="74">
        <v>88.39</v>
      </c>
      <c r="AZ38" s="74">
        <v>134.97999999999999</v>
      </c>
      <c r="BA38" s="88">
        <f t="shared" si="22"/>
        <v>3006.79</v>
      </c>
      <c r="BB38" s="74">
        <f t="shared" si="4"/>
        <v>3537.23</v>
      </c>
      <c r="BC38" s="91">
        <f t="shared" si="5"/>
        <v>0</v>
      </c>
      <c r="BD38" s="74">
        <f t="shared" si="31"/>
        <v>3537.23</v>
      </c>
      <c r="BE38" s="74">
        <v>39.799999999999997</v>
      </c>
      <c r="BF38" s="74">
        <v>79.959999999999994</v>
      </c>
      <c r="BG38" s="74">
        <v>103.68</v>
      </c>
      <c r="BH38" s="74">
        <v>157.88999999999999</v>
      </c>
      <c r="BI38" s="74">
        <v>0</v>
      </c>
      <c r="BJ38" s="74">
        <v>0</v>
      </c>
      <c r="BK38" s="74">
        <v>0</v>
      </c>
      <c r="BL38" s="74">
        <v>0</v>
      </c>
      <c r="BM38" s="91">
        <v>0</v>
      </c>
      <c r="BN38" s="75">
        <v>32</v>
      </c>
      <c r="BO38" s="75">
        <v>3</v>
      </c>
      <c r="BP38" s="75">
        <v>2</v>
      </c>
      <c r="BQ38" s="75">
        <v>11</v>
      </c>
      <c r="BR38" s="74">
        <f t="shared" si="7"/>
        <v>467.38</v>
      </c>
      <c r="BS38" s="91">
        <f t="shared" si="8"/>
        <v>0</v>
      </c>
      <c r="BT38" s="91">
        <f t="shared" si="32"/>
        <v>467.38</v>
      </c>
      <c r="BU38" s="92">
        <f t="shared" si="20"/>
        <v>48</v>
      </c>
      <c r="BV38" s="74">
        <v>6.48</v>
      </c>
      <c r="BW38" s="74">
        <v>11.77</v>
      </c>
      <c r="BX38" s="74">
        <v>11.87</v>
      </c>
      <c r="BY38" s="74">
        <v>18.27</v>
      </c>
      <c r="BZ38" s="74">
        <v>0</v>
      </c>
      <c r="CA38" s="74">
        <v>0</v>
      </c>
      <c r="CB38" s="74">
        <v>0</v>
      </c>
      <c r="CC38" s="74">
        <v>0</v>
      </c>
      <c r="CD38" s="74">
        <v>313.91000000000003</v>
      </c>
      <c r="CE38" s="74">
        <v>855.16</v>
      </c>
      <c r="CF38" s="169">
        <v>1030.19</v>
      </c>
    </row>
    <row r="39" spans="1:84" s="87" customFormat="1" ht="12" customHeight="1" x14ac:dyDescent="0.2">
      <c r="A39" s="166">
        <f t="shared" si="11"/>
        <v>44200</v>
      </c>
      <c r="B39" s="86">
        <v>9419.26</v>
      </c>
      <c r="C39" s="86">
        <v>0</v>
      </c>
      <c r="D39" s="86">
        <f t="shared" si="29"/>
        <v>17166.919999999998</v>
      </c>
      <c r="E39" s="86">
        <f t="shared" si="30"/>
        <v>25199.89</v>
      </c>
      <c r="F39" s="88">
        <v>25.97</v>
      </c>
      <c r="G39" s="88">
        <v>54.53</v>
      </c>
      <c r="H39" s="88">
        <v>49.37</v>
      </c>
      <c r="I39" s="88">
        <v>78.22</v>
      </c>
      <c r="J39" s="88">
        <v>150.81</v>
      </c>
      <c r="K39" s="88">
        <v>316.69</v>
      </c>
      <c r="L39" s="88">
        <v>286.83999999999997</v>
      </c>
      <c r="M39" s="88">
        <v>452.44</v>
      </c>
      <c r="N39" s="88">
        <v>55.64</v>
      </c>
      <c r="O39" s="88">
        <v>166.84</v>
      </c>
      <c r="P39" s="88">
        <v>105.82</v>
      </c>
      <c r="Q39" s="88">
        <v>166.91</v>
      </c>
      <c r="R39" s="88">
        <v>344.25</v>
      </c>
      <c r="S39" s="88">
        <v>722.92</v>
      </c>
      <c r="T39" s="88">
        <v>654.77</v>
      </c>
      <c r="U39" s="88">
        <v>1032.76</v>
      </c>
      <c r="V39" s="87">
        <v>32</v>
      </c>
      <c r="W39" s="87">
        <v>3</v>
      </c>
      <c r="X39" s="87">
        <v>1</v>
      </c>
      <c r="Y39" s="87">
        <v>11</v>
      </c>
      <c r="Z39" s="87">
        <f t="shared" si="18"/>
        <v>47</v>
      </c>
      <c r="AA39" s="87">
        <v>84</v>
      </c>
      <c r="AB39" s="197">
        <f t="shared" si="16"/>
        <v>864.62877551020404</v>
      </c>
      <c r="AC39" s="197">
        <f t="shared" si="17"/>
        <v>504.3667857142857</v>
      </c>
      <c r="AD39" s="86">
        <v>-65</v>
      </c>
      <c r="AE39" s="86">
        <v>-136.5</v>
      </c>
      <c r="AF39" s="86">
        <v>-123.63</v>
      </c>
      <c r="AG39" s="86">
        <v>-195</v>
      </c>
      <c r="AH39" s="86">
        <f>SUMPRODUCT(V39:Y39,AD39:AG39)</f>
        <v>-4758.13</v>
      </c>
      <c r="AI39" s="88">
        <v>576.66999999999996</v>
      </c>
      <c r="AJ39" s="88">
        <v>1210.98</v>
      </c>
      <c r="AK39" s="88">
        <v>1096.8</v>
      </c>
      <c r="AL39" s="88">
        <v>1730.33</v>
      </c>
      <c r="AM39" s="88">
        <f t="shared" si="27"/>
        <v>60</v>
      </c>
      <c r="AN39" s="88">
        <f t="shared" si="28"/>
        <v>60</v>
      </c>
      <c r="AO39" s="88">
        <f t="shared" si="28"/>
        <v>60</v>
      </c>
      <c r="AP39" s="88">
        <f t="shared" si="28"/>
        <v>60</v>
      </c>
      <c r="AQ39" s="86">
        <v>1667.46</v>
      </c>
      <c r="AR39" s="87">
        <v>33</v>
      </c>
      <c r="AS39" s="87">
        <v>3</v>
      </c>
      <c r="AT39" s="87">
        <v>1</v>
      </c>
      <c r="AU39" s="87">
        <v>11</v>
      </c>
      <c r="AV39" s="90">
        <f t="shared" si="19"/>
        <v>48</v>
      </c>
      <c r="AW39" s="88">
        <v>34.979999999999997</v>
      </c>
      <c r="AX39" s="88">
        <v>69.959999999999994</v>
      </c>
      <c r="AY39" s="88">
        <v>91.93</v>
      </c>
      <c r="AZ39" s="88">
        <v>140.38</v>
      </c>
      <c r="BA39" s="88">
        <f t="shared" si="22"/>
        <v>3000.33</v>
      </c>
      <c r="BB39" s="88">
        <f t="shared" si="4"/>
        <v>3526.6800000000003</v>
      </c>
      <c r="BC39" s="86">
        <f t="shared" si="5"/>
        <v>0</v>
      </c>
      <c r="BD39" s="88">
        <f>BB39+BC39</f>
        <v>3526.6800000000003</v>
      </c>
      <c r="BE39" s="88">
        <v>41.4</v>
      </c>
      <c r="BF39" s="88">
        <v>82.11</v>
      </c>
      <c r="BG39" s="88">
        <v>107.84</v>
      </c>
      <c r="BH39" s="88">
        <v>164.21</v>
      </c>
      <c r="BI39" s="88">
        <v>0</v>
      </c>
      <c r="BJ39" s="88">
        <v>0</v>
      </c>
      <c r="BK39" s="88">
        <v>0</v>
      </c>
      <c r="BL39" s="88">
        <v>0</v>
      </c>
      <c r="BM39" s="86">
        <v>105</v>
      </c>
      <c r="BN39" s="87">
        <v>30</v>
      </c>
      <c r="BO39" s="87">
        <v>3</v>
      </c>
      <c r="BP39" s="87">
        <v>1</v>
      </c>
      <c r="BQ39" s="87">
        <v>11</v>
      </c>
      <c r="BR39" s="88">
        <f t="shared" si="7"/>
        <v>374.65</v>
      </c>
      <c r="BS39" s="86">
        <f t="shared" si="8"/>
        <v>0</v>
      </c>
      <c r="BT39" s="86">
        <f>BR39+BS39</f>
        <v>374.65</v>
      </c>
      <c r="BU39" s="90">
        <f t="shared" si="20"/>
        <v>45</v>
      </c>
      <c r="BV39" s="88">
        <v>6.76</v>
      </c>
      <c r="BW39" s="88">
        <v>9.2100000000000009</v>
      </c>
      <c r="BX39" s="88">
        <v>9.25</v>
      </c>
      <c r="BY39" s="88">
        <v>12.27</v>
      </c>
      <c r="BZ39" s="88">
        <v>0</v>
      </c>
      <c r="CA39" s="88">
        <v>0</v>
      </c>
      <c r="CB39" s="88">
        <v>0</v>
      </c>
      <c r="CC39" s="88">
        <v>0</v>
      </c>
      <c r="CD39" s="88">
        <f t="shared" ref="CD39:CD44" si="33">419.12+98.09</f>
        <v>517.21</v>
      </c>
      <c r="CE39" s="88">
        <v>1081.18</v>
      </c>
      <c r="CF39" s="167">
        <v>1275.46</v>
      </c>
    </row>
    <row r="40" spans="1:84" s="87" customFormat="1" ht="12" customHeight="1" x14ac:dyDescent="0.2">
      <c r="A40" s="166">
        <f t="shared" si="11"/>
        <v>44231</v>
      </c>
      <c r="B40" s="86">
        <v>57593.7</v>
      </c>
      <c r="C40" s="86">
        <v>0</v>
      </c>
      <c r="D40" s="86">
        <f t="shared" si="29"/>
        <v>17631.760000000002</v>
      </c>
      <c r="E40" s="86">
        <f t="shared" si="30"/>
        <v>25888.39</v>
      </c>
      <c r="F40" s="88">
        <v>25.97</v>
      </c>
      <c r="G40" s="88">
        <v>54.53</v>
      </c>
      <c r="H40" s="88">
        <v>49.37</v>
      </c>
      <c r="I40" s="88">
        <v>78.22</v>
      </c>
      <c r="J40" s="88">
        <v>150.81</v>
      </c>
      <c r="K40" s="88">
        <v>316.69</v>
      </c>
      <c r="L40" s="88">
        <v>286.83999999999997</v>
      </c>
      <c r="M40" s="88">
        <v>452.44</v>
      </c>
      <c r="N40" s="88">
        <v>55.64</v>
      </c>
      <c r="O40" s="88">
        <v>166.84</v>
      </c>
      <c r="P40" s="88">
        <v>105.82</v>
      </c>
      <c r="Q40" s="88">
        <v>166.91</v>
      </c>
      <c r="R40" s="88">
        <v>344.25</v>
      </c>
      <c r="S40" s="88">
        <v>722.92</v>
      </c>
      <c r="T40" s="88">
        <v>654.77</v>
      </c>
      <c r="U40" s="88">
        <v>1032.76</v>
      </c>
      <c r="V40" s="87">
        <v>34</v>
      </c>
      <c r="W40" s="87">
        <v>3</v>
      </c>
      <c r="X40" s="87">
        <v>1</v>
      </c>
      <c r="Y40" s="87">
        <v>11</v>
      </c>
      <c r="Z40" s="87">
        <f t="shared" si="18"/>
        <v>49</v>
      </c>
      <c r="AA40" s="87">
        <v>85</v>
      </c>
      <c r="AB40" s="197">
        <f t="shared" si="16"/>
        <v>870.40300000000002</v>
      </c>
      <c r="AC40" s="197">
        <f t="shared" si="17"/>
        <v>512.00176470588235</v>
      </c>
      <c r="AD40" s="86">
        <v>-65</v>
      </c>
      <c r="AE40" s="86">
        <v>-136.5</v>
      </c>
      <c r="AF40" s="86">
        <v>-123.63</v>
      </c>
      <c r="AG40" s="86">
        <v>-195</v>
      </c>
      <c r="AH40" s="86">
        <f t="shared" si="21"/>
        <v>-4888.13</v>
      </c>
      <c r="AI40" s="88">
        <v>576.66999999999996</v>
      </c>
      <c r="AJ40" s="88">
        <v>1210.98</v>
      </c>
      <c r="AK40" s="88">
        <v>1096.8</v>
      </c>
      <c r="AL40" s="88">
        <v>1730.33</v>
      </c>
      <c r="AM40" s="88">
        <f t="shared" si="27"/>
        <v>60</v>
      </c>
      <c r="AN40" s="88">
        <f t="shared" si="28"/>
        <v>60</v>
      </c>
      <c r="AO40" s="88">
        <f t="shared" si="28"/>
        <v>60</v>
      </c>
      <c r="AP40" s="88">
        <f t="shared" si="28"/>
        <v>60</v>
      </c>
      <c r="AQ40" s="86">
        <v>3456.88</v>
      </c>
      <c r="AR40" s="87">
        <v>35</v>
      </c>
      <c r="AS40" s="87">
        <v>3</v>
      </c>
      <c r="AT40" s="87">
        <v>1</v>
      </c>
      <c r="AU40" s="87">
        <v>11</v>
      </c>
      <c r="AV40" s="90">
        <f t="shared" si="19"/>
        <v>50</v>
      </c>
      <c r="AW40" s="88">
        <v>34.979999999999997</v>
      </c>
      <c r="AX40" s="88">
        <v>69.959999999999994</v>
      </c>
      <c r="AY40" s="88">
        <v>91.93</v>
      </c>
      <c r="AZ40" s="88">
        <v>140.38</v>
      </c>
      <c r="BA40" s="88">
        <f t="shared" si="22"/>
        <v>3070.29</v>
      </c>
      <c r="BB40" s="88">
        <f t="shared" si="4"/>
        <v>3609.48</v>
      </c>
      <c r="BC40" s="86">
        <f t="shared" si="5"/>
        <v>0</v>
      </c>
      <c r="BD40" s="88">
        <f t="shared" ref="BD40:BD50" si="34">BB40+BC40</f>
        <v>3609.48</v>
      </c>
      <c r="BE40" s="88">
        <v>41.4</v>
      </c>
      <c r="BF40" s="88">
        <v>82.11</v>
      </c>
      <c r="BG40" s="88">
        <v>107.84</v>
      </c>
      <c r="BH40" s="88">
        <v>164.21</v>
      </c>
      <c r="BI40" s="88">
        <v>0</v>
      </c>
      <c r="BJ40" s="88">
        <v>0</v>
      </c>
      <c r="BK40" s="88">
        <v>0</v>
      </c>
      <c r="BL40" s="88">
        <v>0</v>
      </c>
      <c r="BM40" s="86">
        <v>365</v>
      </c>
      <c r="BN40" s="87">
        <v>32</v>
      </c>
      <c r="BO40" s="87">
        <v>3</v>
      </c>
      <c r="BP40" s="87">
        <v>1</v>
      </c>
      <c r="BQ40" s="87">
        <v>11</v>
      </c>
      <c r="BR40" s="88">
        <f t="shared" si="7"/>
        <v>388.16999999999996</v>
      </c>
      <c r="BS40" s="86">
        <f t="shared" si="8"/>
        <v>0</v>
      </c>
      <c r="BT40" s="86">
        <f>BR40+BS40</f>
        <v>388.16999999999996</v>
      </c>
      <c r="BU40" s="90">
        <f t="shared" si="20"/>
        <v>47</v>
      </c>
      <c r="BV40" s="88">
        <v>6.76</v>
      </c>
      <c r="BW40" s="88">
        <v>9.2100000000000009</v>
      </c>
      <c r="BX40" s="88">
        <v>9.25</v>
      </c>
      <c r="BY40" s="88">
        <v>12.27</v>
      </c>
      <c r="BZ40" s="88">
        <v>0</v>
      </c>
      <c r="CA40" s="88">
        <v>0</v>
      </c>
      <c r="CB40" s="88">
        <v>0</v>
      </c>
      <c r="CC40" s="88">
        <v>0</v>
      </c>
      <c r="CD40" s="88">
        <f t="shared" si="33"/>
        <v>517.21</v>
      </c>
      <c r="CE40" s="88">
        <v>1081.18</v>
      </c>
      <c r="CF40" s="167">
        <v>1275.46</v>
      </c>
    </row>
    <row r="41" spans="1:84" s="87" customFormat="1" ht="12" customHeight="1" x14ac:dyDescent="0.2">
      <c r="A41" s="166">
        <f t="shared" si="11"/>
        <v>44262</v>
      </c>
      <c r="B41" s="86">
        <v>67757.11</v>
      </c>
      <c r="C41" s="86">
        <v>0</v>
      </c>
      <c r="D41" s="86">
        <f t="shared" si="29"/>
        <v>18073.79</v>
      </c>
      <c r="E41" s="86">
        <f t="shared" si="30"/>
        <v>26543.16</v>
      </c>
      <c r="F41" s="88">
        <v>25.97</v>
      </c>
      <c r="G41" s="88">
        <v>54.53</v>
      </c>
      <c r="H41" s="88">
        <v>49.37</v>
      </c>
      <c r="I41" s="88">
        <v>78.22</v>
      </c>
      <c r="J41" s="88">
        <v>150.81</v>
      </c>
      <c r="K41" s="88">
        <v>316.69</v>
      </c>
      <c r="L41" s="88">
        <v>286.83999999999997</v>
      </c>
      <c r="M41" s="88">
        <v>452.44</v>
      </c>
      <c r="N41" s="88">
        <v>55.64</v>
      </c>
      <c r="O41" s="88">
        <v>166.84</v>
      </c>
      <c r="P41" s="88">
        <v>105.82</v>
      </c>
      <c r="Q41" s="88">
        <v>166.91</v>
      </c>
      <c r="R41" s="88">
        <v>344.25</v>
      </c>
      <c r="S41" s="88">
        <v>722.92</v>
      </c>
      <c r="T41" s="88">
        <v>654.77</v>
      </c>
      <c r="U41" s="88">
        <v>1032.76</v>
      </c>
      <c r="V41" s="87">
        <v>34</v>
      </c>
      <c r="W41" s="87">
        <v>3</v>
      </c>
      <c r="X41" s="87">
        <v>2</v>
      </c>
      <c r="Y41" s="87">
        <v>11</v>
      </c>
      <c r="Z41" s="87">
        <f t="shared" si="18"/>
        <v>50</v>
      </c>
      <c r="AA41" s="87">
        <v>87</v>
      </c>
      <c r="AB41" s="197">
        <f t="shared" si="16"/>
        <v>949.29680851063824</v>
      </c>
      <c r="AC41" s="197">
        <f t="shared" si="17"/>
        <v>531.15416666666658</v>
      </c>
      <c r="AD41" s="86">
        <v>-65</v>
      </c>
      <c r="AE41" s="86">
        <v>-136.5</v>
      </c>
      <c r="AF41" s="86">
        <v>-123.63</v>
      </c>
      <c r="AG41" s="86">
        <v>-195</v>
      </c>
      <c r="AH41" s="86">
        <f t="shared" si="21"/>
        <v>-5011.76</v>
      </c>
      <c r="AI41" s="88">
        <v>576.66999999999996</v>
      </c>
      <c r="AJ41" s="88">
        <v>1210.98</v>
      </c>
      <c r="AK41" s="88">
        <v>1096.8</v>
      </c>
      <c r="AL41" s="88">
        <v>1730.33</v>
      </c>
      <c r="AM41" s="88">
        <f t="shared" si="27"/>
        <v>60</v>
      </c>
      <c r="AN41" s="88">
        <f t="shared" si="28"/>
        <v>60</v>
      </c>
      <c r="AO41" s="88">
        <f t="shared" si="28"/>
        <v>60</v>
      </c>
      <c r="AP41" s="88">
        <f t="shared" si="28"/>
        <v>60</v>
      </c>
      <c r="AQ41" s="86">
        <v>1004.85</v>
      </c>
      <c r="AR41" s="87">
        <v>35</v>
      </c>
      <c r="AS41" s="87">
        <v>3</v>
      </c>
      <c r="AT41" s="87">
        <v>2</v>
      </c>
      <c r="AU41" s="87">
        <v>11</v>
      </c>
      <c r="AV41" s="90">
        <f t="shared" si="19"/>
        <v>51</v>
      </c>
      <c r="AW41" s="88">
        <v>34.979999999999997</v>
      </c>
      <c r="AX41" s="88">
        <v>69.959999999999994</v>
      </c>
      <c r="AY41" s="88">
        <v>91.93</v>
      </c>
      <c r="AZ41" s="88">
        <v>140.38</v>
      </c>
      <c r="BA41" s="88">
        <f t="shared" si="22"/>
        <v>3162.22</v>
      </c>
      <c r="BB41" s="88">
        <f t="shared" si="4"/>
        <v>3717.32</v>
      </c>
      <c r="BC41" s="86">
        <f t="shared" si="5"/>
        <v>0</v>
      </c>
      <c r="BD41" s="88">
        <f t="shared" si="34"/>
        <v>3717.32</v>
      </c>
      <c r="BE41" s="88">
        <v>41.4</v>
      </c>
      <c r="BF41" s="88">
        <v>82.11</v>
      </c>
      <c r="BG41" s="88">
        <v>107.84</v>
      </c>
      <c r="BH41" s="88">
        <v>164.21</v>
      </c>
      <c r="BI41" s="88">
        <v>0</v>
      </c>
      <c r="BJ41" s="88">
        <v>0</v>
      </c>
      <c r="BK41" s="88">
        <v>0</v>
      </c>
      <c r="BL41" s="88">
        <v>0</v>
      </c>
      <c r="BM41" s="86">
        <v>60</v>
      </c>
      <c r="BN41" s="87">
        <v>32</v>
      </c>
      <c r="BO41" s="87">
        <v>3</v>
      </c>
      <c r="BP41" s="87">
        <v>2</v>
      </c>
      <c r="BQ41" s="87">
        <v>11</v>
      </c>
      <c r="BR41" s="88">
        <f t="shared" si="7"/>
        <v>397.41999999999996</v>
      </c>
      <c r="BS41" s="86">
        <f t="shared" si="8"/>
        <v>0</v>
      </c>
      <c r="BT41" s="86">
        <f>BR41+BS41</f>
        <v>397.41999999999996</v>
      </c>
      <c r="BU41" s="90">
        <f t="shared" si="20"/>
        <v>48</v>
      </c>
      <c r="BV41" s="88">
        <v>6.76</v>
      </c>
      <c r="BW41" s="88">
        <v>9.2100000000000009</v>
      </c>
      <c r="BX41" s="88">
        <v>9.25</v>
      </c>
      <c r="BY41" s="88">
        <v>12.27</v>
      </c>
      <c r="BZ41" s="88">
        <v>0</v>
      </c>
      <c r="CA41" s="88">
        <v>0</v>
      </c>
      <c r="CB41" s="88">
        <v>0</v>
      </c>
      <c r="CC41" s="88">
        <v>0</v>
      </c>
      <c r="CD41" s="88">
        <f t="shared" si="33"/>
        <v>517.21</v>
      </c>
      <c r="CE41" s="88">
        <v>1081.18</v>
      </c>
      <c r="CF41" s="167">
        <v>1275.46</v>
      </c>
    </row>
    <row r="42" spans="1:84" s="87" customFormat="1" ht="12" customHeight="1" x14ac:dyDescent="0.2">
      <c r="A42" s="166">
        <f t="shared" si="11"/>
        <v>44293</v>
      </c>
      <c r="B42" s="86">
        <v>18093.689999999999</v>
      </c>
      <c r="C42" s="86">
        <v>0</v>
      </c>
      <c r="D42" s="86">
        <f t="shared" si="29"/>
        <v>18073.79</v>
      </c>
      <c r="E42" s="86">
        <f t="shared" si="30"/>
        <v>26543.16</v>
      </c>
      <c r="F42" s="88">
        <v>25.97</v>
      </c>
      <c r="G42" s="88">
        <v>54.53</v>
      </c>
      <c r="H42" s="88">
        <v>49.37</v>
      </c>
      <c r="I42" s="88">
        <v>78.22</v>
      </c>
      <c r="J42" s="88">
        <v>150.81</v>
      </c>
      <c r="K42" s="88">
        <v>316.69</v>
      </c>
      <c r="L42" s="88">
        <v>286.83999999999997</v>
      </c>
      <c r="M42" s="88">
        <v>452.44</v>
      </c>
      <c r="N42" s="88">
        <v>55.64</v>
      </c>
      <c r="O42" s="88">
        <v>166.84</v>
      </c>
      <c r="P42" s="88">
        <v>105.82</v>
      </c>
      <c r="Q42" s="88">
        <v>166.91</v>
      </c>
      <c r="R42" s="88">
        <v>344.25</v>
      </c>
      <c r="S42" s="88">
        <v>722.92</v>
      </c>
      <c r="T42" s="88">
        <v>654.77</v>
      </c>
      <c r="U42" s="88">
        <v>1032.76</v>
      </c>
      <c r="V42" s="87">
        <v>34</v>
      </c>
      <c r="W42" s="87">
        <v>3</v>
      </c>
      <c r="X42" s="87">
        <v>2</v>
      </c>
      <c r="Y42" s="87">
        <v>11</v>
      </c>
      <c r="Z42" s="87">
        <f t="shared" si="18"/>
        <v>50</v>
      </c>
      <c r="AA42" s="87">
        <v>88</v>
      </c>
      <c r="AB42" s="197">
        <f t="shared" si="16"/>
        <v>910.55</v>
      </c>
      <c r="AC42" s="197">
        <f t="shared" si="17"/>
        <v>524.90529411764703</v>
      </c>
      <c r="AD42" s="86">
        <v>-65</v>
      </c>
      <c r="AE42" s="86">
        <v>-136.5</v>
      </c>
      <c r="AF42" s="86">
        <v>-123.63</v>
      </c>
      <c r="AG42" s="86">
        <v>-195</v>
      </c>
      <c r="AH42" s="86">
        <f t="shared" si="21"/>
        <v>-5011.76</v>
      </c>
      <c r="AI42" s="88">
        <v>576.66999999999996</v>
      </c>
      <c r="AJ42" s="88">
        <v>1210.98</v>
      </c>
      <c r="AK42" s="88">
        <v>1096.8</v>
      </c>
      <c r="AL42" s="88">
        <v>1730.33</v>
      </c>
      <c r="AM42" s="88">
        <f t="shared" si="27"/>
        <v>60</v>
      </c>
      <c r="AN42" s="88">
        <f t="shared" si="28"/>
        <v>60</v>
      </c>
      <c r="AO42" s="88">
        <f t="shared" si="28"/>
        <v>60</v>
      </c>
      <c r="AP42" s="88">
        <f t="shared" si="28"/>
        <v>60</v>
      </c>
      <c r="AQ42" s="86">
        <v>1679.2</v>
      </c>
      <c r="AR42" s="87">
        <v>35</v>
      </c>
      <c r="AS42" s="87">
        <v>3</v>
      </c>
      <c r="AT42" s="87">
        <v>2</v>
      </c>
      <c r="AU42" s="87">
        <v>11</v>
      </c>
      <c r="AV42" s="90">
        <f t="shared" si="19"/>
        <v>51</v>
      </c>
      <c r="AW42" s="88">
        <v>34.979999999999997</v>
      </c>
      <c r="AX42" s="88">
        <v>69.959999999999994</v>
      </c>
      <c r="AY42" s="88">
        <v>91.93</v>
      </c>
      <c r="AZ42" s="88">
        <v>140.38</v>
      </c>
      <c r="BA42" s="88">
        <f t="shared" si="22"/>
        <v>3162.22</v>
      </c>
      <c r="BB42" s="88">
        <f t="shared" si="4"/>
        <v>3717.32</v>
      </c>
      <c r="BC42" s="86">
        <f t="shared" si="5"/>
        <v>0</v>
      </c>
      <c r="BD42" s="88">
        <f t="shared" si="34"/>
        <v>3717.32</v>
      </c>
      <c r="BE42" s="88">
        <v>41.4</v>
      </c>
      <c r="BF42" s="88">
        <v>82.11</v>
      </c>
      <c r="BG42" s="88">
        <v>107.84</v>
      </c>
      <c r="BH42" s="88">
        <v>164.21</v>
      </c>
      <c r="BI42" s="88">
        <v>0</v>
      </c>
      <c r="BJ42" s="88">
        <v>0</v>
      </c>
      <c r="BK42" s="88">
        <v>0</v>
      </c>
      <c r="BL42" s="88">
        <v>0</v>
      </c>
      <c r="BM42" s="86">
        <v>0</v>
      </c>
      <c r="BN42" s="87">
        <v>32</v>
      </c>
      <c r="BO42" s="87">
        <v>3</v>
      </c>
      <c r="BP42" s="87">
        <v>2</v>
      </c>
      <c r="BQ42" s="87">
        <v>11</v>
      </c>
      <c r="BR42" s="88">
        <f t="shared" si="7"/>
        <v>397.41999999999996</v>
      </c>
      <c r="BS42" s="86">
        <f t="shared" si="8"/>
        <v>0</v>
      </c>
      <c r="BT42" s="86">
        <f t="shared" ref="BT42:BT50" si="35">BR42+BS42</f>
        <v>397.41999999999996</v>
      </c>
      <c r="BU42" s="90">
        <f t="shared" si="20"/>
        <v>48</v>
      </c>
      <c r="BV42" s="88">
        <v>6.76</v>
      </c>
      <c r="BW42" s="88">
        <v>9.2100000000000009</v>
      </c>
      <c r="BX42" s="88">
        <v>9.25</v>
      </c>
      <c r="BY42" s="88">
        <v>12.27</v>
      </c>
      <c r="BZ42" s="88">
        <v>0</v>
      </c>
      <c r="CA42" s="88">
        <v>0</v>
      </c>
      <c r="CB42" s="88">
        <v>0</v>
      </c>
      <c r="CC42" s="88">
        <v>0</v>
      </c>
      <c r="CD42" s="88">
        <f t="shared" si="33"/>
        <v>517.21</v>
      </c>
      <c r="CE42" s="88">
        <v>1081.18</v>
      </c>
      <c r="CF42" s="167">
        <v>1275.46</v>
      </c>
    </row>
    <row r="43" spans="1:84" s="87" customFormat="1" ht="12" customHeight="1" x14ac:dyDescent="0.2">
      <c r="A43" s="166">
        <f t="shared" si="11"/>
        <v>44324</v>
      </c>
      <c r="B43" s="86">
        <v>12214.52</v>
      </c>
      <c r="C43" s="86">
        <v>0</v>
      </c>
      <c r="D43" s="86">
        <f t="shared" si="29"/>
        <v>19076.689999999999</v>
      </c>
      <c r="E43" s="86">
        <f t="shared" si="30"/>
        <v>27954.58</v>
      </c>
      <c r="F43" s="88">
        <v>25.97</v>
      </c>
      <c r="G43" s="88">
        <v>54.53</v>
      </c>
      <c r="H43" s="88">
        <v>49.37</v>
      </c>
      <c r="I43" s="88">
        <v>78.22</v>
      </c>
      <c r="J43" s="88">
        <v>150.81</v>
      </c>
      <c r="K43" s="88">
        <v>316.69</v>
      </c>
      <c r="L43" s="88">
        <v>286.83999999999997</v>
      </c>
      <c r="M43" s="88">
        <v>452.44</v>
      </c>
      <c r="N43" s="88">
        <v>55.64</v>
      </c>
      <c r="O43" s="88">
        <v>166.84</v>
      </c>
      <c r="P43" s="88">
        <v>105.82</v>
      </c>
      <c r="Q43" s="88">
        <v>166.91</v>
      </c>
      <c r="R43" s="88">
        <v>344.25</v>
      </c>
      <c r="S43" s="88">
        <v>722.92</v>
      </c>
      <c r="T43" s="88">
        <v>654.77</v>
      </c>
      <c r="U43" s="88">
        <v>1032.76</v>
      </c>
      <c r="V43" s="87">
        <v>36</v>
      </c>
      <c r="W43" s="87">
        <v>4</v>
      </c>
      <c r="X43" s="87">
        <v>2</v>
      </c>
      <c r="Y43" s="87">
        <v>11</v>
      </c>
      <c r="Z43" s="87">
        <f t="shared" si="18"/>
        <v>53</v>
      </c>
      <c r="AA43" s="87">
        <v>92</v>
      </c>
      <c r="AB43" s="197">
        <f t="shared" si="16"/>
        <v>940.62540000000013</v>
      </c>
      <c r="AC43" s="197">
        <f t="shared" si="17"/>
        <v>540.5893103448276</v>
      </c>
      <c r="AD43" s="86">
        <v>-65</v>
      </c>
      <c r="AE43" s="86">
        <v>-136.5</v>
      </c>
      <c r="AF43" s="86">
        <v>-123.63</v>
      </c>
      <c r="AG43" s="86">
        <v>-195</v>
      </c>
      <c r="AH43" s="86">
        <f t="shared" si="21"/>
        <v>-5278.26</v>
      </c>
      <c r="AI43" s="88">
        <v>576.66999999999996</v>
      </c>
      <c r="AJ43" s="88">
        <v>1210.98</v>
      </c>
      <c r="AK43" s="88">
        <v>1096.8</v>
      </c>
      <c r="AL43" s="88">
        <v>1730.33</v>
      </c>
      <c r="AM43" s="88">
        <f t="shared" si="27"/>
        <v>60</v>
      </c>
      <c r="AN43" s="88">
        <f>720/12</f>
        <v>60</v>
      </c>
      <c r="AO43" s="88">
        <f>720/12</f>
        <v>60</v>
      </c>
      <c r="AP43" s="88">
        <f>720/12</f>
        <v>60</v>
      </c>
      <c r="AQ43" s="86">
        <v>1453.9</v>
      </c>
      <c r="AR43" s="87">
        <v>36</v>
      </c>
      <c r="AS43" s="87">
        <v>4</v>
      </c>
      <c r="AT43" s="87">
        <v>2</v>
      </c>
      <c r="AU43" s="87">
        <v>11</v>
      </c>
      <c r="AV43" s="90">
        <f t="shared" si="19"/>
        <v>53</v>
      </c>
      <c r="AW43" s="88">
        <v>34.979999999999997</v>
      </c>
      <c r="AX43" s="88">
        <v>69.959999999999994</v>
      </c>
      <c r="AY43" s="88">
        <v>91.93</v>
      </c>
      <c r="AZ43" s="88">
        <v>140.38</v>
      </c>
      <c r="BA43" s="88">
        <f t="shared" si="22"/>
        <v>3267.16</v>
      </c>
      <c r="BB43" s="88">
        <f t="shared" si="4"/>
        <v>3840.83</v>
      </c>
      <c r="BC43" s="86">
        <f t="shared" si="5"/>
        <v>0</v>
      </c>
      <c r="BD43" s="88">
        <f t="shared" si="34"/>
        <v>3840.83</v>
      </c>
      <c r="BE43" s="88">
        <v>41.4</v>
      </c>
      <c r="BF43" s="88">
        <v>82.11</v>
      </c>
      <c r="BG43" s="88">
        <v>107.84</v>
      </c>
      <c r="BH43" s="88">
        <v>164.21</v>
      </c>
      <c r="BI43" s="88">
        <v>0</v>
      </c>
      <c r="BJ43" s="88">
        <v>0</v>
      </c>
      <c r="BK43" s="88">
        <v>0</v>
      </c>
      <c r="BL43" s="88">
        <v>0</v>
      </c>
      <c r="BM43" s="86">
        <v>0</v>
      </c>
      <c r="BN43" s="87">
        <v>34</v>
      </c>
      <c r="BO43" s="87">
        <v>4</v>
      </c>
      <c r="BP43" s="87">
        <v>2</v>
      </c>
      <c r="BQ43" s="87">
        <v>11</v>
      </c>
      <c r="BR43" s="88">
        <f t="shared" si="7"/>
        <v>420.15</v>
      </c>
      <c r="BS43" s="86">
        <f t="shared" si="8"/>
        <v>0</v>
      </c>
      <c r="BT43" s="86">
        <f t="shared" si="35"/>
        <v>420.15</v>
      </c>
      <c r="BU43" s="90">
        <f t="shared" si="20"/>
        <v>51</v>
      </c>
      <c r="BV43" s="88">
        <v>6.76</v>
      </c>
      <c r="BW43" s="88">
        <v>9.2100000000000009</v>
      </c>
      <c r="BX43" s="88">
        <v>9.25</v>
      </c>
      <c r="BY43" s="88">
        <v>12.27</v>
      </c>
      <c r="BZ43" s="88">
        <v>0</v>
      </c>
      <c r="CA43" s="88">
        <v>0</v>
      </c>
      <c r="CB43" s="88">
        <v>0</v>
      </c>
      <c r="CC43" s="88">
        <v>0</v>
      </c>
      <c r="CD43" s="88">
        <f t="shared" si="33"/>
        <v>517.21</v>
      </c>
      <c r="CE43" s="88">
        <v>1081.18</v>
      </c>
      <c r="CF43" s="167">
        <v>1275.46</v>
      </c>
    </row>
    <row r="44" spans="1:84" s="87" customFormat="1" ht="12" customHeight="1" x14ac:dyDescent="0.2">
      <c r="A44" s="166">
        <v>44348</v>
      </c>
      <c r="B44" s="86">
        <v>19675.41</v>
      </c>
      <c r="C44" s="86">
        <v>0</v>
      </c>
      <c r="D44" s="86">
        <f t="shared" si="29"/>
        <v>19773.95</v>
      </c>
      <c r="E44" s="86">
        <f t="shared" si="30"/>
        <v>28987.33</v>
      </c>
      <c r="F44" s="88">
        <v>25.97</v>
      </c>
      <c r="G44" s="88">
        <v>54.53</v>
      </c>
      <c r="H44" s="88">
        <v>49.37</v>
      </c>
      <c r="I44" s="88">
        <v>78.22</v>
      </c>
      <c r="J44" s="88">
        <v>150.81</v>
      </c>
      <c r="K44" s="88">
        <v>316.69</v>
      </c>
      <c r="L44" s="88">
        <v>286.83999999999997</v>
      </c>
      <c r="M44" s="88">
        <v>452.44</v>
      </c>
      <c r="N44" s="88">
        <v>55.64</v>
      </c>
      <c r="O44" s="88">
        <v>166.84</v>
      </c>
      <c r="P44" s="88">
        <v>105.82</v>
      </c>
      <c r="Q44" s="88">
        <v>166.91</v>
      </c>
      <c r="R44" s="88">
        <v>344.25</v>
      </c>
      <c r="S44" s="88">
        <v>722.92</v>
      </c>
      <c r="T44" s="88">
        <v>654.77</v>
      </c>
      <c r="U44" s="88">
        <v>1032.76</v>
      </c>
      <c r="V44" s="87">
        <v>39</v>
      </c>
      <c r="W44" s="87">
        <v>4</v>
      </c>
      <c r="X44" s="87">
        <v>2</v>
      </c>
      <c r="Y44" s="87">
        <v>11</v>
      </c>
      <c r="Z44" s="87">
        <f t="shared" si="18"/>
        <v>56</v>
      </c>
      <c r="AA44" s="87">
        <v>95</v>
      </c>
      <c r="AB44" s="197">
        <f t="shared" si="16"/>
        <v>975.22559999999999</v>
      </c>
      <c r="AC44" s="197">
        <f t="shared" si="17"/>
        <v>554.10545454545456</v>
      </c>
      <c r="AD44" s="86">
        <v>-65</v>
      </c>
      <c r="AE44" s="86">
        <v>-136.5</v>
      </c>
      <c r="AF44" s="86">
        <v>-123.63</v>
      </c>
      <c r="AG44" s="86">
        <v>-195</v>
      </c>
      <c r="AH44" s="86">
        <f t="shared" si="21"/>
        <v>-5473.26</v>
      </c>
      <c r="AI44" s="88">
        <v>576.66999999999996</v>
      </c>
      <c r="AJ44" s="88">
        <v>1210.98</v>
      </c>
      <c r="AK44" s="88">
        <v>1096.8</v>
      </c>
      <c r="AL44" s="88">
        <v>1730.33</v>
      </c>
      <c r="AM44" s="88">
        <f t="shared" ref="AM44:AP51" si="36">720/12</f>
        <v>60</v>
      </c>
      <c r="AN44" s="88">
        <f t="shared" si="36"/>
        <v>60</v>
      </c>
      <c r="AO44" s="88">
        <f t="shared" si="36"/>
        <v>60</v>
      </c>
      <c r="AP44" s="88">
        <f t="shared" si="36"/>
        <v>60</v>
      </c>
      <c r="AQ44" s="86">
        <v>2618.2600000000002</v>
      </c>
      <c r="AR44" s="87">
        <v>39</v>
      </c>
      <c r="AS44" s="87">
        <v>4</v>
      </c>
      <c r="AT44" s="87">
        <v>2</v>
      </c>
      <c r="AU44" s="87">
        <v>11</v>
      </c>
      <c r="AV44" s="90">
        <f t="shared" si="19"/>
        <v>56</v>
      </c>
      <c r="AW44" s="88">
        <v>34.979999999999997</v>
      </c>
      <c r="AX44" s="88">
        <v>69.959999999999994</v>
      </c>
      <c r="AY44" s="88">
        <v>91.93</v>
      </c>
      <c r="AZ44" s="88">
        <v>140.38</v>
      </c>
      <c r="BA44" s="88">
        <f t="shared" si="22"/>
        <v>3372.0999999999995</v>
      </c>
      <c r="BB44" s="88">
        <f t="shared" si="4"/>
        <v>3965.0299999999997</v>
      </c>
      <c r="BC44" s="86">
        <f t="shared" si="5"/>
        <v>0</v>
      </c>
      <c r="BD44" s="88">
        <f t="shared" si="34"/>
        <v>3965.0299999999997</v>
      </c>
      <c r="BE44" s="88">
        <v>41.4</v>
      </c>
      <c r="BF44" s="88">
        <v>82.11</v>
      </c>
      <c r="BG44" s="88">
        <v>107.84</v>
      </c>
      <c r="BH44" s="88">
        <v>164.21</v>
      </c>
      <c r="BI44" s="88">
        <v>0</v>
      </c>
      <c r="BJ44" s="88">
        <v>0</v>
      </c>
      <c r="BK44" s="88">
        <v>0</v>
      </c>
      <c r="BL44" s="88">
        <v>0</v>
      </c>
      <c r="BM44" s="86">
        <v>132.75</v>
      </c>
      <c r="BN44" s="87">
        <v>37</v>
      </c>
      <c r="BO44" s="87">
        <v>4</v>
      </c>
      <c r="BP44" s="87">
        <v>2</v>
      </c>
      <c r="BQ44" s="87">
        <v>11</v>
      </c>
      <c r="BR44" s="88">
        <f t="shared" si="7"/>
        <v>440.43000000000006</v>
      </c>
      <c r="BS44" s="86">
        <f t="shared" si="8"/>
        <v>0</v>
      </c>
      <c r="BT44" s="86">
        <f t="shared" si="35"/>
        <v>440.43000000000006</v>
      </c>
      <c r="BU44" s="90">
        <f t="shared" si="20"/>
        <v>54</v>
      </c>
      <c r="BV44" s="88">
        <v>6.76</v>
      </c>
      <c r="BW44" s="88">
        <v>9.2100000000000009</v>
      </c>
      <c r="BX44" s="88">
        <v>9.25</v>
      </c>
      <c r="BY44" s="88">
        <v>12.27</v>
      </c>
      <c r="BZ44" s="88">
        <v>0</v>
      </c>
      <c r="CA44" s="88">
        <v>0</v>
      </c>
      <c r="CB44" s="88">
        <v>0</v>
      </c>
      <c r="CC44" s="88">
        <v>0</v>
      </c>
      <c r="CD44" s="88">
        <f t="shared" si="33"/>
        <v>517.21</v>
      </c>
      <c r="CE44" s="88">
        <v>1081.46</v>
      </c>
      <c r="CF44" s="167">
        <v>1275.46</v>
      </c>
    </row>
    <row r="45" spans="1:84" s="87" customFormat="1" ht="12" customHeight="1" x14ac:dyDescent="0.2">
      <c r="A45" s="166">
        <f t="shared" si="11"/>
        <v>44379</v>
      </c>
      <c r="B45" s="86">
        <v>104058.82</v>
      </c>
      <c r="C45" s="86">
        <v>8777.25</v>
      </c>
      <c r="D45" s="86">
        <f t="shared" si="29"/>
        <v>20006.37</v>
      </c>
      <c r="E45" s="86">
        <f t="shared" si="30"/>
        <v>29331.58</v>
      </c>
      <c r="F45" s="88">
        <v>25.97</v>
      </c>
      <c r="G45" s="88">
        <v>54.53</v>
      </c>
      <c r="H45" s="88">
        <v>49.37</v>
      </c>
      <c r="I45" s="88">
        <v>78.22</v>
      </c>
      <c r="J45" s="88">
        <v>150.81</v>
      </c>
      <c r="K45" s="88">
        <v>316.69</v>
      </c>
      <c r="L45" s="88">
        <v>286.83999999999997</v>
      </c>
      <c r="M45" s="88">
        <v>452.44</v>
      </c>
      <c r="N45" s="88">
        <v>55.64</v>
      </c>
      <c r="O45" s="88">
        <v>166.84</v>
      </c>
      <c r="P45" s="88">
        <v>105.82</v>
      </c>
      <c r="Q45" s="88">
        <v>166.91</v>
      </c>
      <c r="R45" s="88">
        <v>344.25</v>
      </c>
      <c r="S45" s="88">
        <v>722.92</v>
      </c>
      <c r="T45" s="88">
        <v>654.77</v>
      </c>
      <c r="U45" s="88">
        <v>1032.76</v>
      </c>
      <c r="V45" s="87">
        <v>40</v>
      </c>
      <c r="W45" s="87">
        <v>4</v>
      </c>
      <c r="X45" s="87">
        <v>2</v>
      </c>
      <c r="Y45" s="87">
        <v>11</v>
      </c>
      <c r="Z45" s="87">
        <f t="shared" si="18"/>
        <v>57</v>
      </c>
      <c r="AA45" s="87">
        <v>96</v>
      </c>
      <c r="AB45" s="197">
        <f t="shared" si="16"/>
        <v>930.90471698113197</v>
      </c>
      <c r="AC45" s="197">
        <f t="shared" si="17"/>
        <v>536.28206521739128</v>
      </c>
      <c r="AD45" s="86">
        <v>-65</v>
      </c>
      <c r="AE45" s="86">
        <v>-136.5</v>
      </c>
      <c r="AF45" s="86">
        <v>-123.63</v>
      </c>
      <c r="AG45" s="86">
        <v>-195</v>
      </c>
      <c r="AH45" s="86">
        <f t="shared" si="21"/>
        <v>-5538.26</v>
      </c>
      <c r="AI45" s="88">
        <v>576.66999999999996</v>
      </c>
      <c r="AJ45" s="88">
        <v>1210.98</v>
      </c>
      <c r="AK45" s="88">
        <v>1096.8</v>
      </c>
      <c r="AL45" s="88">
        <v>1730.33</v>
      </c>
      <c r="AM45" s="88">
        <f t="shared" si="36"/>
        <v>60</v>
      </c>
      <c r="AN45" s="88">
        <f t="shared" si="36"/>
        <v>60</v>
      </c>
      <c r="AO45" s="88">
        <f t="shared" si="36"/>
        <v>60</v>
      </c>
      <c r="AP45" s="88">
        <f t="shared" si="36"/>
        <v>60</v>
      </c>
      <c r="AQ45" s="86">
        <v>433.75</v>
      </c>
      <c r="AR45" s="87">
        <v>41</v>
      </c>
      <c r="AS45" s="87">
        <v>4</v>
      </c>
      <c r="AT45" s="87">
        <v>2</v>
      </c>
      <c r="AU45" s="87">
        <v>11</v>
      </c>
      <c r="AV45" s="90">
        <f>SUM(V45:Y45)</f>
        <v>57</v>
      </c>
      <c r="AW45" s="88">
        <v>34.979999999999997</v>
      </c>
      <c r="AX45" s="88">
        <v>69.959999999999994</v>
      </c>
      <c r="AY45" s="88">
        <v>91.93</v>
      </c>
      <c r="AZ45" s="88">
        <v>140.38</v>
      </c>
      <c r="BA45" s="88">
        <f t="shared" si="22"/>
        <v>3442.0599999999995</v>
      </c>
      <c r="BB45" s="88">
        <f>SUMPRODUCT(BE45:BH45,V45:Y45)</f>
        <v>4006.4300000000003</v>
      </c>
      <c r="BC45" s="86">
        <f>SUMPRODUCT(V45:Y45,BI45:BL45)</f>
        <v>0</v>
      </c>
      <c r="BD45" s="88">
        <f t="shared" si="34"/>
        <v>4006.4300000000003</v>
      </c>
      <c r="BE45" s="88">
        <v>41.4</v>
      </c>
      <c r="BF45" s="88">
        <v>82.11</v>
      </c>
      <c r="BG45" s="88">
        <v>107.84</v>
      </c>
      <c r="BH45" s="88">
        <v>164.21</v>
      </c>
      <c r="BI45" s="88">
        <v>0</v>
      </c>
      <c r="BJ45" s="88">
        <v>0</v>
      </c>
      <c r="BK45" s="88">
        <v>0</v>
      </c>
      <c r="BL45" s="88">
        <v>0</v>
      </c>
      <c r="BM45" s="86">
        <v>0</v>
      </c>
      <c r="BN45" s="87">
        <v>39</v>
      </c>
      <c r="BO45" s="87">
        <v>4</v>
      </c>
      <c r="BP45" s="87">
        <v>2</v>
      </c>
      <c r="BQ45" s="87">
        <v>11</v>
      </c>
      <c r="BR45" s="88">
        <f t="shared" si="7"/>
        <v>453.95000000000005</v>
      </c>
      <c r="BS45" s="86">
        <f t="shared" si="8"/>
        <v>0</v>
      </c>
      <c r="BT45" s="86">
        <f t="shared" si="35"/>
        <v>453.95000000000005</v>
      </c>
      <c r="BU45" s="90">
        <f t="shared" si="20"/>
        <v>56</v>
      </c>
      <c r="BV45" s="88">
        <v>6.76</v>
      </c>
      <c r="BW45" s="88">
        <v>9.2100000000000009</v>
      </c>
      <c r="BX45" s="88">
        <v>9.25</v>
      </c>
      <c r="BY45" s="88">
        <v>12.27</v>
      </c>
      <c r="BZ45" s="88">
        <v>0</v>
      </c>
      <c r="CA45" s="88">
        <v>0</v>
      </c>
      <c r="CB45" s="88">
        <v>0</v>
      </c>
      <c r="CC45" s="88">
        <v>0</v>
      </c>
      <c r="CD45" s="88">
        <f>419.12+98.09</f>
        <v>517.21</v>
      </c>
      <c r="CE45" s="88">
        <v>1081.18</v>
      </c>
      <c r="CF45" s="167">
        <v>1275.46</v>
      </c>
    </row>
    <row r="46" spans="1:84" s="87" customFormat="1" ht="12" customHeight="1" x14ac:dyDescent="0.2">
      <c r="A46" s="166">
        <f t="shared" si="11"/>
        <v>44410</v>
      </c>
      <c r="B46" s="86">
        <v>36629.379999999997</v>
      </c>
      <c r="C46" s="86">
        <v>6236.6</v>
      </c>
      <c r="D46" s="86">
        <f t="shared" si="29"/>
        <v>19126.479999999996</v>
      </c>
      <c r="E46" s="86">
        <f t="shared" si="30"/>
        <v>27955.25</v>
      </c>
      <c r="F46" s="88">
        <v>25.97</v>
      </c>
      <c r="G46" s="88">
        <v>54.53</v>
      </c>
      <c r="H46" s="88">
        <v>49.37</v>
      </c>
      <c r="I46" s="88">
        <v>78.22</v>
      </c>
      <c r="J46" s="88">
        <v>150.81</v>
      </c>
      <c r="K46" s="88">
        <v>316.69</v>
      </c>
      <c r="L46" s="88">
        <v>286.83999999999997</v>
      </c>
      <c r="M46" s="88">
        <v>452.44</v>
      </c>
      <c r="N46" s="88">
        <v>55.64</v>
      </c>
      <c r="O46" s="88">
        <v>166.84</v>
      </c>
      <c r="P46" s="88">
        <v>105.82</v>
      </c>
      <c r="Q46" s="88">
        <v>166.91</v>
      </c>
      <c r="R46" s="88">
        <v>344.25</v>
      </c>
      <c r="S46" s="88">
        <v>722.92</v>
      </c>
      <c r="T46" s="88">
        <v>654.77</v>
      </c>
      <c r="U46" s="88">
        <v>1032.76</v>
      </c>
      <c r="V46" s="87">
        <v>38</v>
      </c>
      <c r="W46" s="87">
        <v>5</v>
      </c>
      <c r="X46" s="87">
        <v>3</v>
      </c>
      <c r="Y46" s="87">
        <v>9</v>
      </c>
      <c r="Z46" s="87">
        <f t="shared" si="18"/>
        <v>55</v>
      </c>
      <c r="AA46" s="87">
        <v>91</v>
      </c>
      <c r="AB46" s="197">
        <f t="shared" si="16"/>
        <v>840.74517857142848</v>
      </c>
      <c r="AC46" s="197">
        <f t="shared" si="17"/>
        <v>495.59715789473682</v>
      </c>
      <c r="AD46" s="86">
        <v>-65</v>
      </c>
      <c r="AE46" s="86">
        <v>-136.5</v>
      </c>
      <c r="AF46" s="86">
        <v>-123.63</v>
      </c>
      <c r="AG46" s="86">
        <v>-195</v>
      </c>
      <c r="AH46" s="86">
        <f t="shared" si="21"/>
        <v>-5278.3899999999994</v>
      </c>
      <c r="AI46" s="88">
        <v>576.66999999999996</v>
      </c>
      <c r="AJ46" s="88">
        <v>1210.98</v>
      </c>
      <c r="AK46" s="88">
        <v>1096.8</v>
      </c>
      <c r="AL46" s="88">
        <v>1730.33</v>
      </c>
      <c r="AM46" s="88">
        <f t="shared" si="36"/>
        <v>60</v>
      </c>
      <c r="AN46" s="88">
        <f t="shared" si="36"/>
        <v>60</v>
      </c>
      <c r="AO46" s="88">
        <f t="shared" si="36"/>
        <v>60</v>
      </c>
      <c r="AP46" s="88">
        <f t="shared" si="36"/>
        <v>60</v>
      </c>
      <c r="AQ46" s="86">
        <v>1183.3499999999999</v>
      </c>
      <c r="AR46" s="87">
        <v>39</v>
      </c>
      <c r="AS46" s="87">
        <v>5</v>
      </c>
      <c r="AT46" s="87">
        <v>3</v>
      </c>
      <c r="AU46" s="87">
        <v>9</v>
      </c>
      <c r="AV46" s="90">
        <f t="shared" si="19"/>
        <v>56</v>
      </c>
      <c r="AW46" s="88">
        <v>34.979999999999997</v>
      </c>
      <c r="AX46" s="88">
        <v>69.959999999999994</v>
      </c>
      <c r="AY46" s="88">
        <v>91.93</v>
      </c>
      <c r="AZ46" s="88">
        <v>140.38</v>
      </c>
      <c r="BA46" s="88">
        <f t="shared" si="22"/>
        <v>3253.2299999999996</v>
      </c>
      <c r="BB46" s="88">
        <f t="shared" si="4"/>
        <v>3826.5600000000004</v>
      </c>
      <c r="BC46" s="86">
        <f t="shared" si="5"/>
        <v>0</v>
      </c>
      <c r="BD46" s="88">
        <f t="shared" si="34"/>
        <v>3826.5600000000004</v>
      </c>
      <c r="BE46" s="88">
        <v>41.4</v>
      </c>
      <c r="BF46" s="88">
        <v>82.11</v>
      </c>
      <c r="BG46" s="88">
        <v>107.84</v>
      </c>
      <c r="BH46" s="88">
        <v>164.21</v>
      </c>
      <c r="BI46" s="88">
        <v>0</v>
      </c>
      <c r="BJ46" s="88">
        <v>0</v>
      </c>
      <c r="BK46" s="88">
        <v>0</v>
      </c>
      <c r="BL46" s="88">
        <v>0</v>
      </c>
      <c r="BM46" s="86">
        <v>510</v>
      </c>
      <c r="BN46" s="87">
        <v>38</v>
      </c>
      <c r="BO46" s="87">
        <v>5</v>
      </c>
      <c r="BP46" s="87">
        <v>3</v>
      </c>
      <c r="BQ46" s="87">
        <v>9</v>
      </c>
      <c r="BR46" s="88">
        <f t="shared" si="7"/>
        <v>441.11</v>
      </c>
      <c r="BS46" s="86">
        <f t="shared" si="8"/>
        <v>0</v>
      </c>
      <c r="BT46" s="86">
        <f t="shared" si="35"/>
        <v>441.11</v>
      </c>
      <c r="BU46" s="90">
        <f t="shared" si="20"/>
        <v>55</v>
      </c>
      <c r="BV46" s="88">
        <v>6.76</v>
      </c>
      <c r="BW46" s="88">
        <v>9.2100000000000009</v>
      </c>
      <c r="BX46" s="88">
        <v>9.25</v>
      </c>
      <c r="BY46" s="88">
        <v>12.27</v>
      </c>
      <c r="BZ46" s="88">
        <v>0</v>
      </c>
      <c r="CA46" s="88">
        <v>0</v>
      </c>
      <c r="CB46" s="88">
        <v>0</v>
      </c>
      <c r="CC46" s="88">
        <v>0</v>
      </c>
      <c r="CD46" s="88">
        <f>419.12+98.09</f>
        <v>517.21</v>
      </c>
      <c r="CE46" s="88">
        <v>1081.18</v>
      </c>
      <c r="CF46" s="167">
        <v>1275.46</v>
      </c>
    </row>
    <row r="47" spans="1:84" s="87" customFormat="1" ht="12" customHeight="1" x14ac:dyDescent="0.2">
      <c r="A47" s="166">
        <f t="shared" si="11"/>
        <v>44441</v>
      </c>
      <c r="B47" s="86">
        <v>14076.15</v>
      </c>
      <c r="C47" s="86">
        <v>15548.75</v>
      </c>
      <c r="D47" s="86">
        <f t="shared" si="29"/>
        <v>18196.490000000002</v>
      </c>
      <c r="E47" s="86">
        <f t="shared" si="30"/>
        <v>26578.239999999998</v>
      </c>
      <c r="F47" s="88">
        <v>25.97</v>
      </c>
      <c r="G47" s="88">
        <v>54.53</v>
      </c>
      <c r="H47" s="88">
        <v>49.37</v>
      </c>
      <c r="I47" s="88">
        <v>78.22</v>
      </c>
      <c r="J47" s="88">
        <v>150.81</v>
      </c>
      <c r="K47" s="88">
        <v>316.69</v>
      </c>
      <c r="L47" s="88">
        <v>286.83999999999997</v>
      </c>
      <c r="M47" s="88">
        <v>452.44</v>
      </c>
      <c r="N47" s="88">
        <v>55.64</v>
      </c>
      <c r="O47" s="88">
        <v>166.84</v>
      </c>
      <c r="P47" s="88">
        <v>105.82</v>
      </c>
      <c r="Q47" s="88">
        <v>166.91</v>
      </c>
      <c r="R47" s="88">
        <v>344.25</v>
      </c>
      <c r="S47" s="88">
        <v>722.92</v>
      </c>
      <c r="T47" s="88">
        <v>654.77</v>
      </c>
      <c r="U47" s="88">
        <v>1032.76</v>
      </c>
      <c r="V47" s="87">
        <v>37</v>
      </c>
      <c r="W47" s="87">
        <v>5</v>
      </c>
      <c r="X47" s="87">
        <v>3</v>
      </c>
      <c r="Y47" s="87">
        <v>8</v>
      </c>
      <c r="Z47" s="87">
        <f t="shared" si="18"/>
        <v>53</v>
      </c>
      <c r="AA47" s="87">
        <v>87</v>
      </c>
      <c r="AB47" s="197">
        <f t="shared" si="16"/>
        <v>785.52157894736831</v>
      </c>
      <c r="AC47" s="197">
        <f t="shared" si="17"/>
        <v>466.40343749999994</v>
      </c>
      <c r="AD47" s="86">
        <v>-65</v>
      </c>
      <c r="AE47" s="86">
        <v>-136.5</v>
      </c>
      <c r="AF47" s="86">
        <v>-123.63</v>
      </c>
      <c r="AG47" s="86">
        <v>-195</v>
      </c>
      <c r="AH47" s="86">
        <f t="shared" si="21"/>
        <v>-5018.3899999999994</v>
      </c>
      <c r="AI47" s="88">
        <v>576.66999999999996</v>
      </c>
      <c r="AJ47" s="88">
        <v>1210.98</v>
      </c>
      <c r="AK47" s="88">
        <v>1096.8</v>
      </c>
      <c r="AL47" s="88">
        <v>1730.33</v>
      </c>
      <c r="AM47" s="88">
        <f t="shared" si="36"/>
        <v>60</v>
      </c>
      <c r="AN47" s="88">
        <f t="shared" si="36"/>
        <v>60</v>
      </c>
      <c r="AO47" s="88">
        <f t="shared" si="36"/>
        <v>60</v>
      </c>
      <c r="AP47" s="88">
        <f t="shared" si="36"/>
        <v>60</v>
      </c>
      <c r="AQ47" s="86">
        <v>1967.11</v>
      </c>
      <c r="AR47" s="87">
        <v>38</v>
      </c>
      <c r="AS47" s="87">
        <v>5</v>
      </c>
      <c r="AT47" s="87">
        <v>3</v>
      </c>
      <c r="AU47" s="87">
        <v>8</v>
      </c>
      <c r="AV47" s="90">
        <f t="shared" si="19"/>
        <v>54</v>
      </c>
      <c r="AW47" s="88">
        <v>34.979999999999997</v>
      </c>
      <c r="AX47" s="88">
        <v>69.959999999999994</v>
      </c>
      <c r="AY47" s="88">
        <v>91.93</v>
      </c>
      <c r="AZ47" s="88">
        <v>140.38</v>
      </c>
      <c r="BA47" s="88">
        <f t="shared" si="22"/>
        <v>3077.87</v>
      </c>
      <c r="BB47" s="88">
        <f t="shared" si="4"/>
        <v>3620.95</v>
      </c>
      <c r="BC47" s="86">
        <f t="shared" si="5"/>
        <v>0</v>
      </c>
      <c r="BD47" s="88">
        <f t="shared" si="34"/>
        <v>3620.95</v>
      </c>
      <c r="BE47" s="88">
        <v>41.4</v>
      </c>
      <c r="BF47" s="88">
        <v>82.11</v>
      </c>
      <c r="BG47" s="88">
        <v>107.84</v>
      </c>
      <c r="BH47" s="88">
        <v>164.21</v>
      </c>
      <c r="BI47" s="88">
        <v>0</v>
      </c>
      <c r="BJ47" s="88">
        <v>0</v>
      </c>
      <c r="BK47" s="88">
        <v>0</v>
      </c>
      <c r="BL47" s="88">
        <v>0</v>
      </c>
      <c r="BM47" s="86">
        <v>60</v>
      </c>
      <c r="BN47" s="87">
        <v>37</v>
      </c>
      <c r="BO47" s="87">
        <v>5</v>
      </c>
      <c r="BP47" s="87">
        <v>3</v>
      </c>
      <c r="BQ47" s="87">
        <v>8</v>
      </c>
      <c r="BR47" s="88">
        <f t="shared" si="7"/>
        <v>422.08000000000004</v>
      </c>
      <c r="BS47" s="86">
        <f t="shared" si="8"/>
        <v>0</v>
      </c>
      <c r="BT47" s="86">
        <f t="shared" si="35"/>
        <v>422.08000000000004</v>
      </c>
      <c r="BU47" s="90">
        <f t="shared" si="20"/>
        <v>53</v>
      </c>
      <c r="BV47" s="88">
        <v>6.76</v>
      </c>
      <c r="BW47" s="88">
        <v>9.2100000000000009</v>
      </c>
      <c r="BX47" s="88">
        <v>9.25</v>
      </c>
      <c r="BY47" s="88">
        <v>12.27</v>
      </c>
      <c r="BZ47" s="88">
        <v>0</v>
      </c>
      <c r="CA47" s="88">
        <v>0</v>
      </c>
      <c r="CB47" s="88">
        <v>0</v>
      </c>
      <c r="CC47" s="88">
        <v>0</v>
      </c>
      <c r="CD47" s="88">
        <f>451.9+105.76</f>
        <v>557.66</v>
      </c>
      <c r="CE47" s="88">
        <v>1174.92</v>
      </c>
      <c r="CF47" s="167">
        <v>1382.41</v>
      </c>
    </row>
    <row r="48" spans="1:84" s="87" customFormat="1" ht="12" customHeight="1" x14ac:dyDescent="0.2">
      <c r="A48" s="166">
        <f t="shared" si="11"/>
        <v>44472</v>
      </c>
      <c r="B48" s="86">
        <v>11217.55</v>
      </c>
      <c r="C48" s="86">
        <v>518.89</v>
      </c>
      <c r="D48" s="86">
        <f t="shared" si="29"/>
        <v>18428.91</v>
      </c>
      <c r="E48" s="86">
        <f t="shared" si="30"/>
        <v>26922.489999999998</v>
      </c>
      <c r="F48" s="88">
        <v>25.97</v>
      </c>
      <c r="G48" s="88">
        <v>54.53</v>
      </c>
      <c r="H48" s="88">
        <v>49.37</v>
      </c>
      <c r="I48" s="88">
        <v>78.22</v>
      </c>
      <c r="J48" s="88">
        <v>150.81</v>
      </c>
      <c r="K48" s="88">
        <v>316.69</v>
      </c>
      <c r="L48" s="88">
        <v>286.83999999999997</v>
      </c>
      <c r="M48" s="88">
        <v>452.44</v>
      </c>
      <c r="N48" s="88">
        <v>55.64</v>
      </c>
      <c r="O48" s="88">
        <v>166.84</v>
      </c>
      <c r="P48" s="88">
        <v>105.82</v>
      </c>
      <c r="Q48" s="88">
        <v>166.91</v>
      </c>
      <c r="R48" s="88">
        <v>344.25</v>
      </c>
      <c r="S48" s="88">
        <v>722.92</v>
      </c>
      <c r="T48" s="88">
        <v>654.77</v>
      </c>
      <c r="U48" s="88">
        <v>1032.76</v>
      </c>
      <c r="V48" s="87">
        <v>38</v>
      </c>
      <c r="W48" s="87">
        <v>5</v>
      </c>
      <c r="X48" s="87">
        <v>3</v>
      </c>
      <c r="Y48" s="87">
        <v>8</v>
      </c>
      <c r="Z48" s="87">
        <f t="shared" si="18"/>
        <v>54</v>
      </c>
      <c r="AA48" s="87">
        <v>88</v>
      </c>
      <c r="AB48" s="197">
        <f t="shared" si="16"/>
        <v>824.57090909090903</v>
      </c>
      <c r="AC48" s="197">
        <f t="shared" si="17"/>
        <v>498.36703296703291</v>
      </c>
      <c r="AD48" s="86">
        <v>-65</v>
      </c>
      <c r="AE48" s="86">
        <v>-136.5</v>
      </c>
      <c r="AF48" s="86">
        <v>-123.63</v>
      </c>
      <c r="AG48" s="86">
        <v>-195</v>
      </c>
      <c r="AH48" s="86">
        <f t="shared" si="21"/>
        <v>-5083.3899999999994</v>
      </c>
      <c r="AI48" s="88">
        <v>576.66999999999996</v>
      </c>
      <c r="AJ48" s="88">
        <v>1210.98</v>
      </c>
      <c r="AK48" s="88">
        <v>1096.8</v>
      </c>
      <c r="AL48" s="88">
        <v>1730.33</v>
      </c>
      <c r="AM48" s="88">
        <f t="shared" si="36"/>
        <v>60</v>
      </c>
      <c r="AN48" s="88">
        <f t="shared" si="36"/>
        <v>60</v>
      </c>
      <c r="AO48" s="88">
        <f t="shared" si="36"/>
        <v>60</v>
      </c>
      <c r="AP48" s="88">
        <f t="shared" si="36"/>
        <v>60</v>
      </c>
      <c r="AQ48" s="86">
        <v>1593.8</v>
      </c>
      <c r="AR48" s="87">
        <v>39</v>
      </c>
      <c r="AS48" s="87">
        <v>5</v>
      </c>
      <c r="AT48" s="87">
        <v>3</v>
      </c>
      <c r="AU48" s="87">
        <v>8</v>
      </c>
      <c r="AV48" s="90">
        <f t="shared" si="19"/>
        <v>55</v>
      </c>
      <c r="AW48" s="88">
        <v>34.979999999999997</v>
      </c>
      <c r="AX48" s="88">
        <v>69.959999999999994</v>
      </c>
      <c r="AY48" s="88">
        <v>91.93</v>
      </c>
      <c r="AZ48" s="88">
        <v>140.38</v>
      </c>
      <c r="BA48" s="88">
        <f t="shared" si="22"/>
        <v>3112.8499999999995</v>
      </c>
      <c r="BB48" s="88">
        <f t="shared" si="4"/>
        <v>3662.3500000000004</v>
      </c>
      <c r="BC48" s="86">
        <f t="shared" si="5"/>
        <v>0</v>
      </c>
      <c r="BD48" s="88">
        <f t="shared" si="34"/>
        <v>3662.3500000000004</v>
      </c>
      <c r="BE48" s="88">
        <v>41.4</v>
      </c>
      <c r="BF48" s="88">
        <v>82.11</v>
      </c>
      <c r="BG48" s="88">
        <v>107.84</v>
      </c>
      <c r="BH48" s="88">
        <v>164.21</v>
      </c>
      <c r="BI48" s="88">
        <v>0</v>
      </c>
      <c r="BJ48" s="88">
        <v>0</v>
      </c>
      <c r="BK48" s="88">
        <v>0</v>
      </c>
      <c r="BL48" s="88">
        <v>0</v>
      </c>
      <c r="BM48" s="86">
        <v>270</v>
      </c>
      <c r="BN48" s="87">
        <v>38</v>
      </c>
      <c r="BO48" s="87">
        <v>5</v>
      </c>
      <c r="BP48" s="87">
        <v>3</v>
      </c>
      <c r="BQ48" s="87">
        <v>8</v>
      </c>
      <c r="BR48" s="88">
        <f t="shared" si="7"/>
        <v>428.84000000000003</v>
      </c>
      <c r="BS48" s="86">
        <f t="shared" si="8"/>
        <v>0</v>
      </c>
      <c r="BT48" s="86">
        <f t="shared" si="35"/>
        <v>428.84000000000003</v>
      </c>
      <c r="BU48" s="90">
        <f t="shared" si="20"/>
        <v>54</v>
      </c>
      <c r="BV48" s="88">
        <v>6.76</v>
      </c>
      <c r="BW48" s="88">
        <v>9.2100000000000009</v>
      </c>
      <c r="BX48" s="88">
        <v>9.25</v>
      </c>
      <c r="BY48" s="88">
        <v>12.27</v>
      </c>
      <c r="BZ48" s="88">
        <v>0</v>
      </c>
      <c r="CA48" s="88">
        <v>0</v>
      </c>
      <c r="CB48" s="88">
        <v>0</v>
      </c>
      <c r="CC48" s="88">
        <v>0</v>
      </c>
      <c r="CD48" s="88">
        <f>423.7+99.16</f>
        <v>522.86</v>
      </c>
      <c r="CE48" s="88">
        <v>1128.1300000000001</v>
      </c>
      <c r="CF48" s="167">
        <v>1322.3</v>
      </c>
    </row>
    <row r="49" spans="1:84" s="87" customFormat="1" ht="12" customHeight="1" x14ac:dyDescent="0.2">
      <c r="A49" s="166">
        <f t="shared" si="11"/>
        <v>44503</v>
      </c>
      <c r="B49" s="86">
        <v>51855.49</v>
      </c>
      <c r="C49" s="86">
        <v>3965.61</v>
      </c>
      <c r="D49" s="86">
        <f t="shared" si="29"/>
        <v>18428.91</v>
      </c>
      <c r="E49" s="86">
        <f t="shared" si="30"/>
        <v>26922.489999999998</v>
      </c>
      <c r="F49" s="88">
        <v>25.97</v>
      </c>
      <c r="G49" s="88">
        <v>54.53</v>
      </c>
      <c r="H49" s="88">
        <v>49.37</v>
      </c>
      <c r="I49" s="88">
        <v>78.22</v>
      </c>
      <c r="J49" s="88">
        <v>150.81</v>
      </c>
      <c r="K49" s="88">
        <v>316.69</v>
      </c>
      <c r="L49" s="88">
        <v>286.83999999999997</v>
      </c>
      <c r="M49" s="88">
        <v>452.44</v>
      </c>
      <c r="N49" s="88">
        <v>55.64</v>
      </c>
      <c r="O49" s="88">
        <v>166.84</v>
      </c>
      <c r="P49" s="88">
        <v>105.82</v>
      </c>
      <c r="Q49" s="88">
        <v>166.91</v>
      </c>
      <c r="R49" s="88">
        <v>344.25</v>
      </c>
      <c r="S49" s="88">
        <v>722.92</v>
      </c>
      <c r="T49" s="88">
        <v>654.77</v>
      </c>
      <c r="U49" s="88">
        <v>1032.76</v>
      </c>
      <c r="V49" s="87">
        <v>38</v>
      </c>
      <c r="W49" s="87">
        <v>5</v>
      </c>
      <c r="X49" s="87">
        <v>3</v>
      </c>
      <c r="Y49" s="87">
        <v>8</v>
      </c>
      <c r="Z49" s="87">
        <f t="shared" si="18"/>
        <v>54</v>
      </c>
      <c r="AA49" s="87">
        <v>86</v>
      </c>
      <c r="AB49" s="197">
        <f t="shared" si="16"/>
        <v>855.6867924528301</v>
      </c>
      <c r="AC49" s="197">
        <f t="shared" si="17"/>
        <v>521.28045977011493</v>
      </c>
      <c r="AD49" s="86">
        <v>-65</v>
      </c>
      <c r="AE49" s="86">
        <v>-136.5</v>
      </c>
      <c r="AF49" s="86">
        <v>-123.63</v>
      </c>
      <c r="AG49" s="86">
        <v>-195</v>
      </c>
      <c r="AH49" s="86">
        <f t="shared" si="21"/>
        <v>-5083.3899999999994</v>
      </c>
      <c r="AI49" s="88">
        <v>576.66999999999996</v>
      </c>
      <c r="AJ49" s="88">
        <v>1210.98</v>
      </c>
      <c r="AK49" s="88">
        <v>1096.8</v>
      </c>
      <c r="AL49" s="88">
        <v>1730.33</v>
      </c>
      <c r="AM49" s="88">
        <f t="shared" si="36"/>
        <v>60</v>
      </c>
      <c r="AN49" s="88">
        <f t="shared" si="36"/>
        <v>60</v>
      </c>
      <c r="AO49" s="88">
        <f t="shared" si="36"/>
        <v>60</v>
      </c>
      <c r="AP49" s="88">
        <f t="shared" si="36"/>
        <v>60</v>
      </c>
      <c r="AQ49" s="86">
        <v>2329.19</v>
      </c>
      <c r="AR49" s="87">
        <v>39</v>
      </c>
      <c r="AS49" s="87">
        <v>5</v>
      </c>
      <c r="AT49" s="87">
        <v>3</v>
      </c>
      <c r="AU49" s="87">
        <v>8</v>
      </c>
      <c r="AV49" s="90">
        <f t="shared" si="19"/>
        <v>55</v>
      </c>
      <c r="AW49" s="88">
        <v>34.979999999999997</v>
      </c>
      <c r="AX49" s="88">
        <v>69.959999999999994</v>
      </c>
      <c r="AY49" s="88">
        <v>91.93</v>
      </c>
      <c r="AZ49" s="88">
        <v>140.38</v>
      </c>
      <c r="BA49" s="88">
        <f t="shared" si="22"/>
        <v>3112.8499999999995</v>
      </c>
      <c r="BB49" s="88">
        <f t="shared" si="4"/>
        <v>3662.3500000000004</v>
      </c>
      <c r="BC49" s="86">
        <f t="shared" si="5"/>
        <v>0</v>
      </c>
      <c r="BD49" s="88">
        <f t="shared" si="34"/>
        <v>3662.3500000000004</v>
      </c>
      <c r="BE49" s="88">
        <v>41.4</v>
      </c>
      <c r="BF49" s="88">
        <v>82.11</v>
      </c>
      <c r="BG49" s="88">
        <v>107.84</v>
      </c>
      <c r="BH49" s="88">
        <v>164.21</v>
      </c>
      <c r="BI49" s="88">
        <v>0</v>
      </c>
      <c r="BJ49" s="88">
        <v>0</v>
      </c>
      <c r="BK49" s="88">
        <v>0</v>
      </c>
      <c r="BL49" s="88">
        <v>0</v>
      </c>
      <c r="BM49" s="86">
        <v>0</v>
      </c>
      <c r="BN49" s="87">
        <v>38</v>
      </c>
      <c r="BO49" s="87">
        <v>5</v>
      </c>
      <c r="BP49" s="87">
        <v>3</v>
      </c>
      <c r="BQ49" s="87">
        <v>8</v>
      </c>
      <c r="BR49" s="88">
        <f t="shared" si="7"/>
        <v>428.84000000000003</v>
      </c>
      <c r="BS49" s="86">
        <f t="shared" si="8"/>
        <v>0</v>
      </c>
      <c r="BT49" s="86">
        <f t="shared" si="35"/>
        <v>428.84000000000003</v>
      </c>
      <c r="BU49" s="90">
        <f t="shared" si="20"/>
        <v>54</v>
      </c>
      <c r="BV49" s="88">
        <v>6.76</v>
      </c>
      <c r="BW49" s="88">
        <v>9.2100000000000009</v>
      </c>
      <c r="BX49" s="88">
        <v>9.25</v>
      </c>
      <c r="BY49" s="88">
        <v>12.27</v>
      </c>
      <c r="BZ49" s="88">
        <v>0</v>
      </c>
      <c r="CA49" s="88">
        <v>0</v>
      </c>
      <c r="CB49" s="88">
        <v>0</v>
      </c>
      <c r="CC49" s="88">
        <v>0</v>
      </c>
      <c r="CD49" s="88">
        <f>423.7+99.16</f>
        <v>522.86</v>
      </c>
      <c r="CE49" s="88">
        <v>1128.1300000000001</v>
      </c>
      <c r="CF49" s="167">
        <v>1322.2</v>
      </c>
    </row>
    <row r="50" spans="1:84" s="75" customFormat="1" ht="12.75" customHeight="1" thickBot="1" x14ac:dyDescent="0.25">
      <c r="A50" s="168">
        <f t="shared" si="11"/>
        <v>44534</v>
      </c>
      <c r="B50" s="210">
        <v>19142.29</v>
      </c>
      <c r="C50" s="210">
        <v>0</v>
      </c>
      <c r="D50" s="210">
        <f t="shared" si="29"/>
        <v>18196.490000000002</v>
      </c>
      <c r="E50" s="210">
        <f t="shared" si="30"/>
        <v>26578.239999999998</v>
      </c>
      <c r="F50" s="97">
        <v>25.97</v>
      </c>
      <c r="G50" s="97">
        <v>54.53</v>
      </c>
      <c r="H50" s="97">
        <v>49.37</v>
      </c>
      <c r="I50" s="97">
        <v>78.22</v>
      </c>
      <c r="J50" s="97">
        <v>150.81</v>
      </c>
      <c r="K50" s="97">
        <v>316.69</v>
      </c>
      <c r="L50" s="97">
        <v>286.83999999999997</v>
      </c>
      <c r="M50" s="97">
        <v>452.44</v>
      </c>
      <c r="N50" s="97">
        <v>55.64</v>
      </c>
      <c r="O50" s="97">
        <v>166.84</v>
      </c>
      <c r="P50" s="97">
        <v>105.82</v>
      </c>
      <c r="Q50" s="97">
        <v>166.91</v>
      </c>
      <c r="R50" s="97">
        <v>344.25</v>
      </c>
      <c r="S50" s="97">
        <v>722.92</v>
      </c>
      <c r="T50" s="97">
        <v>654.77</v>
      </c>
      <c r="U50" s="97">
        <v>1032.76</v>
      </c>
      <c r="V50" s="211">
        <v>37</v>
      </c>
      <c r="W50" s="211">
        <v>5</v>
      </c>
      <c r="X50" s="211">
        <v>3</v>
      </c>
      <c r="Y50" s="211">
        <v>8</v>
      </c>
      <c r="Z50" s="211">
        <f t="shared" si="18"/>
        <v>53</v>
      </c>
      <c r="AA50" s="211">
        <v>85</v>
      </c>
      <c r="AB50" s="204">
        <f t="shared" si="16"/>
        <v>829.16166666666663</v>
      </c>
      <c r="AC50" s="204">
        <f t="shared" si="17"/>
        <v>508.80374999999998</v>
      </c>
      <c r="AD50" s="210">
        <v>-65</v>
      </c>
      <c r="AE50" s="210">
        <v>-136.5</v>
      </c>
      <c r="AF50" s="210">
        <v>-123.63</v>
      </c>
      <c r="AG50" s="210">
        <v>-195</v>
      </c>
      <c r="AH50" s="210">
        <f t="shared" si="21"/>
        <v>-5018.3899999999994</v>
      </c>
      <c r="AI50" s="210">
        <v>576.66999999999996</v>
      </c>
      <c r="AJ50" s="210">
        <v>1210.98</v>
      </c>
      <c r="AK50" s="210">
        <v>1096.8</v>
      </c>
      <c r="AL50" s="210">
        <v>1730.33</v>
      </c>
      <c r="AM50" s="97">
        <f t="shared" si="36"/>
        <v>60</v>
      </c>
      <c r="AN50" s="97">
        <f t="shared" si="36"/>
        <v>60</v>
      </c>
      <c r="AO50" s="97">
        <f t="shared" si="36"/>
        <v>60</v>
      </c>
      <c r="AP50" s="97">
        <f t="shared" si="36"/>
        <v>60</v>
      </c>
      <c r="AQ50" s="210">
        <v>1996.75</v>
      </c>
      <c r="AR50" s="211">
        <v>38</v>
      </c>
      <c r="AS50" s="211">
        <v>5</v>
      </c>
      <c r="AT50" s="211">
        <v>3</v>
      </c>
      <c r="AU50" s="211">
        <v>8</v>
      </c>
      <c r="AV50" s="212">
        <f t="shared" si="19"/>
        <v>54</v>
      </c>
      <c r="AW50" s="97">
        <v>34.979999999999997</v>
      </c>
      <c r="AX50" s="97">
        <v>69.959999999999994</v>
      </c>
      <c r="AY50" s="97">
        <v>91.93</v>
      </c>
      <c r="AZ50" s="97">
        <v>140.38</v>
      </c>
      <c r="BA50" s="88">
        <f t="shared" si="22"/>
        <v>3077.87</v>
      </c>
      <c r="BB50" s="97">
        <f t="shared" si="4"/>
        <v>3620.95</v>
      </c>
      <c r="BC50" s="210">
        <f t="shared" si="5"/>
        <v>0</v>
      </c>
      <c r="BD50" s="97">
        <f t="shared" si="34"/>
        <v>3620.95</v>
      </c>
      <c r="BE50" s="97">
        <v>41.4</v>
      </c>
      <c r="BF50" s="97">
        <v>82.11</v>
      </c>
      <c r="BG50" s="97">
        <v>107.84</v>
      </c>
      <c r="BH50" s="97">
        <v>164.21</v>
      </c>
      <c r="BI50" s="97">
        <v>0</v>
      </c>
      <c r="BJ50" s="97">
        <v>0</v>
      </c>
      <c r="BK50" s="97">
        <v>0</v>
      </c>
      <c r="BL50" s="97">
        <v>0</v>
      </c>
      <c r="BM50" s="210">
        <v>75.25</v>
      </c>
      <c r="BN50" s="211">
        <v>38</v>
      </c>
      <c r="BO50" s="211">
        <v>5</v>
      </c>
      <c r="BP50" s="211">
        <v>3</v>
      </c>
      <c r="BQ50" s="211">
        <v>8</v>
      </c>
      <c r="BR50" s="97">
        <f t="shared" si="7"/>
        <v>428.84000000000003</v>
      </c>
      <c r="BS50" s="210">
        <f t="shared" si="8"/>
        <v>0</v>
      </c>
      <c r="BT50" s="210">
        <f t="shared" si="35"/>
        <v>428.84000000000003</v>
      </c>
      <c r="BU50" s="212">
        <f t="shared" si="20"/>
        <v>54</v>
      </c>
      <c r="BV50" s="97">
        <v>6.76</v>
      </c>
      <c r="BW50" s="97">
        <v>9.2100000000000009</v>
      </c>
      <c r="BX50" s="97">
        <v>9.25</v>
      </c>
      <c r="BY50" s="97">
        <v>12.27</v>
      </c>
      <c r="BZ50" s="97">
        <v>0</v>
      </c>
      <c r="CA50" s="97">
        <v>0</v>
      </c>
      <c r="CB50" s="97">
        <v>0</v>
      </c>
      <c r="CC50" s="97">
        <v>0</v>
      </c>
      <c r="CD50" s="97">
        <f>423.7+99.16</f>
        <v>522.86</v>
      </c>
      <c r="CE50" s="97">
        <v>1128.1300000000001</v>
      </c>
      <c r="CF50" s="213">
        <v>1322.3</v>
      </c>
    </row>
    <row r="51" spans="1:84" ht="12" customHeight="1" x14ac:dyDescent="0.2">
      <c r="A51" s="166">
        <f t="shared" si="11"/>
        <v>44565</v>
      </c>
      <c r="B51" s="86">
        <v>9845.7999999999993</v>
      </c>
      <c r="C51" s="86">
        <v>0</v>
      </c>
      <c r="D51" s="99">
        <f>SUMPRODUCT(F51:I51,V51:Y51)+SUMPRODUCT(J51:M51,V51:Y51)+SUMPRODUCT(N51:Q51,V51:Y51)</f>
        <v>19257.620000000003</v>
      </c>
      <c r="E51" s="99">
        <f>SUMPRODUCT(R51:U51,V51:Y51)</f>
        <v>32018.050000000003</v>
      </c>
      <c r="F51" s="83">
        <f>43.52-16.56</f>
        <v>26.960000000000004</v>
      </c>
      <c r="G51" s="83">
        <f>91.6-34.77</f>
        <v>56.829999999999991</v>
      </c>
      <c r="H51" s="83">
        <f>82.92-31.49</f>
        <v>51.430000000000007</v>
      </c>
      <c r="I51" s="83">
        <f>130.96-49.68</f>
        <v>81.28</v>
      </c>
      <c r="J51" s="83">
        <v>161.36000000000001</v>
      </c>
      <c r="K51" s="83">
        <v>338.85</v>
      </c>
      <c r="L51" s="83">
        <v>306.89999999999998</v>
      </c>
      <c r="M51" s="83">
        <v>484.17</v>
      </c>
      <c r="N51" s="83">
        <v>60.09</v>
      </c>
      <c r="O51" s="83">
        <v>126.19</v>
      </c>
      <c r="P51" s="83">
        <v>114.28</v>
      </c>
      <c r="Q51" s="83">
        <v>180.3</v>
      </c>
      <c r="R51" s="83">
        <v>413.1</v>
      </c>
      <c r="S51" s="83">
        <v>867.49</v>
      </c>
      <c r="T51" s="83">
        <v>785.7</v>
      </c>
      <c r="U51" s="83">
        <v>1239.52</v>
      </c>
      <c r="V51" s="87">
        <v>41</v>
      </c>
      <c r="W51" s="87">
        <v>7</v>
      </c>
      <c r="X51" s="87">
        <v>2</v>
      </c>
      <c r="Y51" s="87">
        <v>6</v>
      </c>
      <c r="Z51" s="87">
        <f t="shared" si="18"/>
        <v>56</v>
      </c>
      <c r="AA51" s="87">
        <v>83</v>
      </c>
      <c r="AB51" s="197">
        <f t="shared" si="16"/>
        <v>949.54944444444459</v>
      </c>
      <c r="AC51" s="197">
        <f t="shared" si="17"/>
        <v>596.22872093023261</v>
      </c>
      <c r="AD51" s="84">
        <f>-30*26/12</f>
        <v>-65</v>
      </c>
      <c r="AE51" s="84">
        <f>-63*26/12</f>
        <v>-136.5</v>
      </c>
      <c r="AF51" s="84">
        <f>-57.06*26/12</f>
        <v>-123.63</v>
      </c>
      <c r="AG51" s="84">
        <f>-90*26/12</f>
        <v>-195</v>
      </c>
      <c r="AH51" s="84">
        <f t="shared" si="21"/>
        <v>-5037.76</v>
      </c>
      <c r="AI51" s="83">
        <v>661.51</v>
      </c>
      <c r="AJ51" s="83">
        <v>1389.36</v>
      </c>
      <c r="AK51" s="83">
        <v>1258.31</v>
      </c>
      <c r="AL51" s="83">
        <v>1985.27</v>
      </c>
      <c r="AM51" s="88">
        <f t="shared" si="36"/>
        <v>60</v>
      </c>
      <c r="AN51" s="88">
        <f t="shared" si="36"/>
        <v>60</v>
      </c>
      <c r="AO51" s="88">
        <f t="shared" si="36"/>
        <v>60</v>
      </c>
      <c r="AP51" s="88">
        <f t="shared" si="36"/>
        <v>60</v>
      </c>
      <c r="AQ51" s="86">
        <v>3566.24</v>
      </c>
      <c r="AR51" s="87">
        <v>42</v>
      </c>
      <c r="AS51" s="87">
        <v>7</v>
      </c>
      <c r="AT51" s="87">
        <v>2</v>
      </c>
      <c r="AU51" s="87">
        <v>6</v>
      </c>
      <c r="AV51" s="82">
        <f t="shared" si="19"/>
        <v>57</v>
      </c>
      <c r="AW51" s="88">
        <v>36.380000000000003</v>
      </c>
      <c r="AX51" s="88">
        <v>85.4</v>
      </c>
      <c r="AY51" s="88">
        <v>112.16</v>
      </c>
      <c r="AZ51" s="88">
        <v>170.79</v>
      </c>
      <c r="BA51" s="88">
        <f t="shared" si="22"/>
        <v>3374.8200000000006</v>
      </c>
      <c r="BB51" s="83">
        <f t="shared" ref="BB51:BB62" si="37">SUMPRODUCT(BE51:BH51,AR51:AU51)</f>
        <v>3655.38</v>
      </c>
      <c r="BC51" s="84">
        <f t="shared" ref="BC51:BC62" si="38">SUMPRODUCT(AR51:AU51,BI51:BL51)</f>
        <v>-1219.8333333333335</v>
      </c>
      <c r="BD51" s="83">
        <f t="shared" ref="BD51:BD62" si="39">BB51+BC51</f>
        <v>2435.5466666666666</v>
      </c>
      <c r="BE51" s="83">
        <f>43.06</f>
        <v>43.06</v>
      </c>
      <c r="BF51" s="83">
        <v>85.4</v>
      </c>
      <c r="BG51" s="83">
        <v>112.16</v>
      </c>
      <c r="BH51" s="83">
        <v>170.79</v>
      </c>
      <c r="BI51" s="84">
        <f>-7*26/12</f>
        <v>-15.166666666666666</v>
      </c>
      <c r="BJ51" s="84">
        <f>-15*26/12</f>
        <v>-32.5</v>
      </c>
      <c r="BK51" s="84">
        <f>-13*26/12</f>
        <v>-28.166666666666668</v>
      </c>
      <c r="BL51" s="84">
        <f>-23*26/12</f>
        <v>-49.833333333333336</v>
      </c>
      <c r="BM51" s="86">
        <v>135.25</v>
      </c>
      <c r="BN51" s="87">
        <v>39</v>
      </c>
      <c r="BO51" s="87">
        <v>7</v>
      </c>
      <c r="BP51" s="87">
        <v>0</v>
      </c>
      <c r="BQ51" s="87">
        <v>6</v>
      </c>
      <c r="BR51" s="83">
        <f t="shared" si="7"/>
        <v>417.72</v>
      </c>
      <c r="BS51" s="84">
        <f t="shared" ref="BS51:BS62" si="40">SUMPRODUCT(BN51:BQ51,BZ51:CC51)</f>
        <v>-448.5</v>
      </c>
      <c r="BT51" s="84">
        <f t="shared" ref="BT51:BT62" si="41">BR51+BS51</f>
        <v>-30.779999999999973</v>
      </c>
      <c r="BU51" s="82">
        <f t="shared" ref="BU51:BU62" si="42">SUM(BN51:BQ51)</f>
        <v>52</v>
      </c>
      <c r="BV51" s="83">
        <v>7.03</v>
      </c>
      <c r="BW51" s="83">
        <v>9.57</v>
      </c>
      <c r="BX51" s="83">
        <v>9.61</v>
      </c>
      <c r="BY51" s="83">
        <v>12.76</v>
      </c>
      <c r="BZ51" s="84">
        <f>-3*26/12</f>
        <v>-6.5</v>
      </c>
      <c r="CA51" s="84">
        <f>-6*26/12</f>
        <v>-13</v>
      </c>
      <c r="CB51" s="84">
        <f>-5*26/12</f>
        <v>-10.833333333333334</v>
      </c>
      <c r="CC51" s="84">
        <f>-8*26/12</f>
        <v>-17.333333333333332</v>
      </c>
      <c r="CD51" s="88">
        <f>397.97+93.14</f>
        <v>491.11</v>
      </c>
      <c r="CE51" s="88">
        <v>1036.8399999999999</v>
      </c>
      <c r="CF51" s="88">
        <v>1220.29</v>
      </c>
    </row>
    <row r="52" spans="1:84" ht="12" customHeight="1" x14ac:dyDescent="0.2">
      <c r="A52" s="214">
        <f t="shared" si="11"/>
        <v>44596</v>
      </c>
      <c r="B52" s="86">
        <v>5127.58</v>
      </c>
      <c r="C52" s="86">
        <v>0</v>
      </c>
      <c r="D52" s="99">
        <f t="shared" ref="D52:D62" si="43">SUMPRODUCT(F52:I52,V52:Y52)+SUMPRODUCT(J52:M52,V52:Y52)+SUMPRODUCT(N52:Q52,V52:Y52)</f>
        <v>19257.620000000003</v>
      </c>
      <c r="E52" s="99">
        <f t="shared" ref="E52:E62" si="44">SUMPRODUCT(R52:U52,V52:Y52)</f>
        <v>32018.050000000003</v>
      </c>
      <c r="F52" s="83">
        <f t="shared" ref="F52:F62" si="45">43.52-16.56</f>
        <v>26.960000000000004</v>
      </c>
      <c r="G52" s="83">
        <f t="shared" ref="G52:G62" si="46">91.6-34.77</f>
        <v>56.829999999999991</v>
      </c>
      <c r="H52" s="83">
        <f t="shared" ref="H52:H62" si="47">82.92-31.49</f>
        <v>51.430000000000007</v>
      </c>
      <c r="I52" s="83">
        <f t="shared" ref="I52:I62" si="48">130.96-49.68</f>
        <v>81.28</v>
      </c>
      <c r="J52" s="83">
        <v>161.36000000000001</v>
      </c>
      <c r="K52" s="83">
        <v>338.85</v>
      </c>
      <c r="L52" s="83">
        <v>306.89999999999998</v>
      </c>
      <c r="M52" s="83">
        <v>484.17</v>
      </c>
      <c r="N52" s="83">
        <v>60.09</v>
      </c>
      <c r="O52" s="83">
        <v>126.19</v>
      </c>
      <c r="P52" s="83">
        <v>114.28</v>
      </c>
      <c r="Q52" s="83">
        <v>180.3</v>
      </c>
      <c r="R52" s="83">
        <v>413.1</v>
      </c>
      <c r="S52" s="83">
        <v>867.49</v>
      </c>
      <c r="T52" s="83">
        <v>785.7</v>
      </c>
      <c r="U52" s="83">
        <v>1239.52</v>
      </c>
      <c r="V52" s="87">
        <v>41</v>
      </c>
      <c r="W52" s="87">
        <v>7</v>
      </c>
      <c r="X52" s="87">
        <v>2</v>
      </c>
      <c r="Y52" s="87">
        <v>6</v>
      </c>
      <c r="Z52" s="87">
        <f t="shared" si="18"/>
        <v>56</v>
      </c>
      <c r="AA52" s="87">
        <v>84</v>
      </c>
      <c r="AB52" s="197">
        <f t="shared" si="16"/>
        <v>967.46547169811333</v>
      </c>
      <c r="AC52" s="197">
        <f t="shared" si="17"/>
        <v>603.24317647058831</v>
      </c>
      <c r="AD52" s="84">
        <v>-65</v>
      </c>
      <c r="AE52" s="84">
        <v>-136.5</v>
      </c>
      <c r="AF52" s="84">
        <v>-123.63</v>
      </c>
      <c r="AG52" s="84">
        <v>-195</v>
      </c>
      <c r="AH52" s="84">
        <f t="shared" si="21"/>
        <v>-5037.76</v>
      </c>
      <c r="AI52" s="83">
        <v>661.51</v>
      </c>
      <c r="AJ52" s="83">
        <v>1389.36</v>
      </c>
      <c r="AK52" s="83">
        <v>1258.31</v>
      </c>
      <c r="AL52" s="83">
        <v>1985.27</v>
      </c>
      <c r="AM52" s="83">
        <v>60</v>
      </c>
      <c r="AN52" s="83">
        <v>60</v>
      </c>
      <c r="AO52" s="83">
        <v>60</v>
      </c>
      <c r="AP52" s="83">
        <v>60</v>
      </c>
      <c r="AQ52" s="86">
        <v>509</v>
      </c>
      <c r="AR52" s="87">
        <v>42</v>
      </c>
      <c r="AS52" s="87">
        <v>7</v>
      </c>
      <c r="AT52" s="87">
        <v>2</v>
      </c>
      <c r="AU52" s="87">
        <v>6</v>
      </c>
      <c r="AV52" s="82">
        <f t="shared" si="19"/>
        <v>57</v>
      </c>
      <c r="AW52" s="88">
        <v>36.380000000000003</v>
      </c>
      <c r="AX52" s="88">
        <v>85.4</v>
      </c>
      <c r="AY52" s="88">
        <v>112.16</v>
      </c>
      <c r="AZ52" s="88">
        <v>170.79</v>
      </c>
      <c r="BA52" s="88">
        <f t="shared" si="22"/>
        <v>3374.8200000000006</v>
      </c>
      <c r="BB52" s="83">
        <f t="shared" si="37"/>
        <v>3655.38</v>
      </c>
      <c r="BC52" s="84">
        <f t="shared" si="38"/>
        <v>-1219.8333333333335</v>
      </c>
      <c r="BD52" s="83">
        <f t="shared" si="39"/>
        <v>2435.5466666666666</v>
      </c>
      <c r="BE52" s="83">
        <v>43.06</v>
      </c>
      <c r="BF52" s="83">
        <v>85.4</v>
      </c>
      <c r="BG52" s="83">
        <v>112.16</v>
      </c>
      <c r="BH52" s="83">
        <v>170.79</v>
      </c>
      <c r="BI52" s="84">
        <v>-15.166666666666666</v>
      </c>
      <c r="BJ52" s="84">
        <v>-32.5</v>
      </c>
      <c r="BK52" s="84">
        <v>-28.166666666666668</v>
      </c>
      <c r="BL52" s="84">
        <v>-49.833333333333336</v>
      </c>
      <c r="BM52" s="86">
        <v>368</v>
      </c>
      <c r="BN52" s="87">
        <v>39</v>
      </c>
      <c r="BO52" s="87">
        <v>7</v>
      </c>
      <c r="BP52" s="87">
        <v>0</v>
      </c>
      <c r="BQ52" s="87">
        <v>6</v>
      </c>
      <c r="BR52" s="83">
        <f t="shared" si="7"/>
        <v>417.72</v>
      </c>
      <c r="BS52" s="84">
        <f t="shared" si="40"/>
        <v>-448.5</v>
      </c>
      <c r="BT52" s="84">
        <f t="shared" si="41"/>
        <v>-30.779999999999973</v>
      </c>
      <c r="BU52" s="82">
        <f t="shared" si="42"/>
        <v>52</v>
      </c>
      <c r="BV52" s="83">
        <v>7.03</v>
      </c>
      <c r="BW52" s="83">
        <v>9.57</v>
      </c>
      <c r="BX52" s="83">
        <v>9.61</v>
      </c>
      <c r="BY52" s="83">
        <v>12.76</v>
      </c>
      <c r="BZ52" s="84">
        <v>-6.5</v>
      </c>
      <c r="CA52" s="84">
        <v>-13</v>
      </c>
      <c r="CB52" s="84">
        <v>-10.833333333333334</v>
      </c>
      <c r="CC52" s="84">
        <v>-17.333333333333332</v>
      </c>
      <c r="CD52" s="88">
        <f>397.97+93.14</f>
        <v>491.11</v>
      </c>
      <c r="CE52" s="88">
        <v>1036.94</v>
      </c>
      <c r="CF52" s="88">
        <v>1220.29</v>
      </c>
    </row>
    <row r="53" spans="1:84" ht="12" customHeight="1" x14ac:dyDescent="0.2">
      <c r="A53" s="214">
        <f t="shared" si="11"/>
        <v>44627</v>
      </c>
      <c r="B53" s="86">
        <v>4206.6400000000003</v>
      </c>
      <c r="C53" s="86">
        <v>0</v>
      </c>
      <c r="D53" s="99">
        <f t="shared" si="43"/>
        <v>19506.030000000002</v>
      </c>
      <c r="E53" s="99">
        <f t="shared" si="44"/>
        <v>32431.15</v>
      </c>
      <c r="F53" s="83">
        <f t="shared" si="45"/>
        <v>26.960000000000004</v>
      </c>
      <c r="G53" s="83">
        <f t="shared" si="46"/>
        <v>56.829999999999991</v>
      </c>
      <c r="H53" s="83">
        <f t="shared" si="47"/>
        <v>51.430000000000007</v>
      </c>
      <c r="I53" s="83">
        <f t="shared" si="48"/>
        <v>81.28</v>
      </c>
      <c r="J53" s="83">
        <v>161.36000000000001</v>
      </c>
      <c r="K53" s="83">
        <v>338.85</v>
      </c>
      <c r="L53" s="83">
        <v>306.89999999999998</v>
      </c>
      <c r="M53" s="83">
        <v>484.17</v>
      </c>
      <c r="N53" s="83">
        <v>60.09</v>
      </c>
      <c r="O53" s="83">
        <v>126.19</v>
      </c>
      <c r="P53" s="83">
        <v>114.28</v>
      </c>
      <c r="Q53" s="83">
        <v>180.3</v>
      </c>
      <c r="R53" s="83">
        <v>413.1</v>
      </c>
      <c r="S53" s="83">
        <v>867.49</v>
      </c>
      <c r="T53" s="83">
        <v>785.7</v>
      </c>
      <c r="U53" s="83">
        <v>1239.52</v>
      </c>
      <c r="V53" s="87">
        <v>42</v>
      </c>
      <c r="W53" s="87">
        <v>7</v>
      </c>
      <c r="X53" s="87">
        <v>2</v>
      </c>
      <c r="Y53" s="87">
        <v>6</v>
      </c>
      <c r="Z53" s="87">
        <f t="shared" si="18"/>
        <v>57</v>
      </c>
      <c r="AA53" s="87">
        <v>84</v>
      </c>
      <c r="AB53" s="197">
        <f t="shared" si="16"/>
        <v>927.44964285714298</v>
      </c>
      <c r="AC53" s="197">
        <f t="shared" si="17"/>
        <v>625.74915662650608</v>
      </c>
      <c r="AD53" s="84">
        <v>-65</v>
      </c>
      <c r="AE53" s="84">
        <v>-136.5</v>
      </c>
      <c r="AF53" s="84">
        <v>-123.63</v>
      </c>
      <c r="AG53" s="84">
        <v>-195</v>
      </c>
      <c r="AH53" s="84">
        <f t="shared" si="21"/>
        <v>-5102.76</v>
      </c>
      <c r="AI53" s="83">
        <v>661.51</v>
      </c>
      <c r="AJ53" s="83">
        <v>1389.36</v>
      </c>
      <c r="AK53" s="83">
        <v>1258.31</v>
      </c>
      <c r="AL53" s="83">
        <v>1985.27</v>
      </c>
      <c r="AM53" s="83">
        <v>60</v>
      </c>
      <c r="AN53" s="83">
        <v>60</v>
      </c>
      <c r="AO53" s="83">
        <v>60</v>
      </c>
      <c r="AP53" s="83">
        <v>60</v>
      </c>
      <c r="AQ53" s="86">
        <v>993.87</v>
      </c>
      <c r="AR53" s="87">
        <v>43</v>
      </c>
      <c r="AS53" s="87">
        <v>7</v>
      </c>
      <c r="AT53" s="87">
        <v>2</v>
      </c>
      <c r="AU53" s="87">
        <v>6</v>
      </c>
      <c r="AV53" s="82">
        <f t="shared" si="19"/>
        <v>58</v>
      </c>
      <c r="AW53" s="88">
        <v>36.380000000000003</v>
      </c>
      <c r="AX53" s="88">
        <v>85.4</v>
      </c>
      <c r="AY53" s="88">
        <v>112.16</v>
      </c>
      <c r="AZ53" s="88">
        <v>170.79</v>
      </c>
      <c r="BA53" s="88">
        <f t="shared" si="22"/>
        <v>3411.2000000000007</v>
      </c>
      <c r="BB53" s="83">
        <f t="shared" si="37"/>
        <v>3698.4400000000005</v>
      </c>
      <c r="BC53" s="84">
        <f t="shared" si="38"/>
        <v>-1235</v>
      </c>
      <c r="BD53" s="83">
        <f t="shared" si="39"/>
        <v>2463.4400000000005</v>
      </c>
      <c r="BE53" s="83">
        <v>43.06</v>
      </c>
      <c r="BF53" s="83">
        <v>85.4</v>
      </c>
      <c r="BG53" s="83">
        <v>112.16</v>
      </c>
      <c r="BH53" s="83">
        <v>170.79</v>
      </c>
      <c r="BI53" s="84">
        <v>-15.166666666666666</v>
      </c>
      <c r="BJ53" s="84">
        <v>-32.5</v>
      </c>
      <c r="BK53" s="84">
        <v>-28.166666666666668</v>
      </c>
      <c r="BL53" s="84">
        <v>-49.833333333333336</v>
      </c>
      <c r="BM53" s="86">
        <v>582.75</v>
      </c>
      <c r="BN53" s="87">
        <v>39</v>
      </c>
      <c r="BO53" s="87">
        <v>7</v>
      </c>
      <c r="BP53" s="87">
        <v>0</v>
      </c>
      <c r="BQ53" s="87">
        <v>6</v>
      </c>
      <c r="BR53" s="83">
        <f t="shared" si="7"/>
        <v>417.72</v>
      </c>
      <c r="BS53" s="84">
        <f t="shared" si="40"/>
        <v>-448.5</v>
      </c>
      <c r="BT53" s="84">
        <f t="shared" si="41"/>
        <v>-30.779999999999973</v>
      </c>
      <c r="BU53" s="82">
        <f t="shared" si="42"/>
        <v>52</v>
      </c>
      <c r="BV53" s="83">
        <v>7.03</v>
      </c>
      <c r="BW53" s="83">
        <v>9.57</v>
      </c>
      <c r="BX53" s="83">
        <v>9.61</v>
      </c>
      <c r="BY53" s="83">
        <v>12.76</v>
      </c>
      <c r="BZ53" s="84">
        <v>-6.5</v>
      </c>
      <c r="CA53" s="84">
        <v>-13</v>
      </c>
      <c r="CB53" s="84">
        <v>-10.833333333333334</v>
      </c>
      <c r="CC53" s="84">
        <v>-17.333333333333332</v>
      </c>
      <c r="CD53" s="88">
        <f>405.02+94.79</f>
        <v>499.81</v>
      </c>
      <c r="CE53" s="88">
        <v>1052.28</v>
      </c>
      <c r="CF53" s="88">
        <v>1241.67</v>
      </c>
    </row>
    <row r="54" spans="1:84" ht="12" customHeight="1" x14ac:dyDescent="0.2">
      <c r="A54" s="214">
        <f t="shared" si="11"/>
        <v>44658</v>
      </c>
      <c r="B54" s="86">
        <f>4793.86+5345.53</f>
        <v>10139.39</v>
      </c>
      <c r="C54" s="86">
        <v>0</v>
      </c>
      <c r="D54" s="99">
        <f t="shared" si="43"/>
        <v>19754.440000000002</v>
      </c>
      <c r="E54" s="99">
        <f t="shared" si="44"/>
        <v>32844.25</v>
      </c>
      <c r="F54" s="83">
        <f t="shared" si="45"/>
        <v>26.960000000000004</v>
      </c>
      <c r="G54" s="83">
        <f t="shared" si="46"/>
        <v>56.829999999999991</v>
      </c>
      <c r="H54" s="83">
        <f t="shared" si="47"/>
        <v>51.430000000000007</v>
      </c>
      <c r="I54" s="83">
        <f t="shared" si="48"/>
        <v>81.28</v>
      </c>
      <c r="J54" s="83">
        <v>161.36000000000001</v>
      </c>
      <c r="K54" s="83">
        <v>338.85</v>
      </c>
      <c r="L54" s="83">
        <v>306.89999999999998</v>
      </c>
      <c r="M54" s="83">
        <v>484.17</v>
      </c>
      <c r="N54" s="83">
        <v>60.09</v>
      </c>
      <c r="O54" s="83">
        <v>126.19</v>
      </c>
      <c r="P54" s="83">
        <v>114.28</v>
      </c>
      <c r="Q54" s="83">
        <v>180.3</v>
      </c>
      <c r="R54" s="83">
        <v>413.1</v>
      </c>
      <c r="S54" s="83">
        <v>867.49</v>
      </c>
      <c r="T54" s="83">
        <v>785.7</v>
      </c>
      <c r="U54" s="83">
        <v>1239.52</v>
      </c>
      <c r="V54" s="87">
        <v>43</v>
      </c>
      <c r="W54" s="87">
        <v>7</v>
      </c>
      <c r="X54" s="87">
        <v>2</v>
      </c>
      <c r="Y54" s="87">
        <v>6</v>
      </c>
      <c r="Z54" s="87">
        <f t="shared" si="18"/>
        <v>58</v>
      </c>
      <c r="AA54" s="87">
        <v>85</v>
      </c>
      <c r="AB54" s="197">
        <f t="shared" si="16"/>
        <v>939.26232142857145</v>
      </c>
      <c r="AC54" s="197">
        <f t="shared" si="17"/>
        <v>626.17488095238093</v>
      </c>
      <c r="AD54" s="84">
        <v>-65</v>
      </c>
      <c r="AE54" s="84">
        <v>-136.5</v>
      </c>
      <c r="AF54" s="84">
        <v>-123.63</v>
      </c>
      <c r="AG54" s="84">
        <v>-195</v>
      </c>
      <c r="AH54" s="84">
        <f t="shared" si="21"/>
        <v>-5167.76</v>
      </c>
      <c r="AI54" s="83">
        <v>661.51</v>
      </c>
      <c r="AJ54" s="83">
        <v>1389.36</v>
      </c>
      <c r="AK54" s="83">
        <v>1258.31</v>
      </c>
      <c r="AL54" s="83">
        <v>1985.27</v>
      </c>
      <c r="AM54" s="83">
        <v>60</v>
      </c>
      <c r="AN54" s="83">
        <v>60</v>
      </c>
      <c r="AO54" s="83">
        <v>60</v>
      </c>
      <c r="AP54" s="83">
        <v>60</v>
      </c>
      <c r="AQ54" s="86">
        <v>257</v>
      </c>
      <c r="AR54" s="87">
        <v>44</v>
      </c>
      <c r="AS54" s="87">
        <v>7</v>
      </c>
      <c r="AT54" s="87">
        <v>2</v>
      </c>
      <c r="AU54" s="87">
        <v>6</v>
      </c>
      <c r="AV54" s="82">
        <f t="shared" si="19"/>
        <v>59</v>
      </c>
      <c r="AW54" s="88">
        <v>36.380000000000003</v>
      </c>
      <c r="AX54" s="88">
        <v>85.4</v>
      </c>
      <c r="AY54" s="88">
        <v>112.16</v>
      </c>
      <c r="AZ54" s="88">
        <v>170.79</v>
      </c>
      <c r="BA54" s="88">
        <f t="shared" si="22"/>
        <v>3447.58</v>
      </c>
      <c r="BB54" s="83">
        <f t="shared" si="37"/>
        <v>3741.5</v>
      </c>
      <c r="BC54" s="84">
        <f t="shared" si="38"/>
        <v>-1250.1666666666665</v>
      </c>
      <c r="BD54" s="83">
        <f t="shared" si="39"/>
        <v>2491.3333333333335</v>
      </c>
      <c r="BE54" s="83">
        <v>43.06</v>
      </c>
      <c r="BF54" s="83">
        <v>85.4</v>
      </c>
      <c r="BG54" s="83">
        <v>112.16</v>
      </c>
      <c r="BH54" s="83">
        <v>170.79</v>
      </c>
      <c r="BI54" s="84">
        <v>-15.166666666666666</v>
      </c>
      <c r="BJ54" s="84">
        <v>-32.5</v>
      </c>
      <c r="BK54" s="84">
        <v>-28.166666666666668</v>
      </c>
      <c r="BL54" s="84">
        <v>-49.833333333333336</v>
      </c>
      <c r="BM54" s="86">
        <v>60</v>
      </c>
      <c r="BN54" s="87">
        <v>40</v>
      </c>
      <c r="BO54" s="87">
        <v>7</v>
      </c>
      <c r="BP54" s="87">
        <v>0</v>
      </c>
      <c r="BQ54" s="87">
        <v>6</v>
      </c>
      <c r="BR54" s="83">
        <f t="shared" si="7"/>
        <v>424.75</v>
      </c>
      <c r="BS54" s="84">
        <f t="shared" si="40"/>
        <v>-455</v>
      </c>
      <c r="BT54" s="84">
        <f t="shared" si="41"/>
        <v>-30.25</v>
      </c>
      <c r="BU54" s="82">
        <f t="shared" si="42"/>
        <v>53</v>
      </c>
      <c r="BV54" s="83">
        <v>7.03</v>
      </c>
      <c r="BW54" s="83">
        <v>9.57</v>
      </c>
      <c r="BX54" s="83">
        <v>9.61</v>
      </c>
      <c r="BY54" s="83">
        <v>12.76</v>
      </c>
      <c r="BZ54" s="84">
        <v>-6.5</v>
      </c>
      <c r="CA54" s="84">
        <v>-13</v>
      </c>
      <c r="CB54" s="84">
        <v>-10.833333333333334</v>
      </c>
      <c r="CC54" s="84">
        <v>-17.333333333333332</v>
      </c>
      <c r="CD54" s="88">
        <f>405.02+94.79</f>
        <v>499.81</v>
      </c>
      <c r="CE54" s="88">
        <v>1052.28</v>
      </c>
      <c r="CF54" s="88">
        <v>1241.67</v>
      </c>
    </row>
    <row r="55" spans="1:84" ht="12" customHeight="1" x14ac:dyDescent="0.2">
      <c r="A55" s="214">
        <f t="shared" si="11"/>
        <v>44689</v>
      </c>
      <c r="B55" s="86">
        <f>6515.62+27344.4</f>
        <v>33860.020000000004</v>
      </c>
      <c r="C55" s="86">
        <v>0</v>
      </c>
      <c r="D55" s="99">
        <f t="shared" si="43"/>
        <v>19754.440000000002</v>
      </c>
      <c r="E55" s="99">
        <f t="shared" si="44"/>
        <v>32844.25</v>
      </c>
      <c r="F55" s="83">
        <f t="shared" si="45"/>
        <v>26.960000000000004</v>
      </c>
      <c r="G55" s="83">
        <f t="shared" si="46"/>
        <v>56.829999999999991</v>
      </c>
      <c r="H55" s="83">
        <f t="shared" si="47"/>
        <v>51.430000000000007</v>
      </c>
      <c r="I55" s="83">
        <f t="shared" si="48"/>
        <v>81.28</v>
      </c>
      <c r="J55" s="83">
        <v>161.36000000000001</v>
      </c>
      <c r="K55" s="83">
        <v>338.85</v>
      </c>
      <c r="L55" s="83">
        <v>306.89999999999998</v>
      </c>
      <c r="M55" s="83">
        <v>484.17</v>
      </c>
      <c r="N55" s="83">
        <v>60.09</v>
      </c>
      <c r="O55" s="83">
        <v>126.19</v>
      </c>
      <c r="P55" s="83">
        <v>114.28</v>
      </c>
      <c r="Q55" s="83">
        <v>180.3</v>
      </c>
      <c r="R55" s="83">
        <v>413.1</v>
      </c>
      <c r="S55" s="83">
        <v>867.49</v>
      </c>
      <c r="T55" s="83">
        <v>785.7</v>
      </c>
      <c r="U55" s="83">
        <v>1239.52</v>
      </c>
      <c r="V55" s="87">
        <v>43</v>
      </c>
      <c r="W55" s="87">
        <v>7</v>
      </c>
      <c r="X55" s="87">
        <v>2</v>
      </c>
      <c r="Y55" s="87">
        <v>6</v>
      </c>
      <c r="Z55" s="87">
        <f t="shared" si="18"/>
        <v>58</v>
      </c>
      <c r="AA55" s="87">
        <v>85</v>
      </c>
      <c r="AB55" s="197">
        <f t="shared" si="16"/>
        <v>922.7840350877193</v>
      </c>
      <c r="AC55" s="197">
        <f t="shared" si="17"/>
        <v>626.17488095238093</v>
      </c>
      <c r="AD55" s="84">
        <v>-65</v>
      </c>
      <c r="AE55" s="84">
        <v>-136.5</v>
      </c>
      <c r="AF55" s="84">
        <v>-123.63</v>
      </c>
      <c r="AG55" s="84">
        <v>-195</v>
      </c>
      <c r="AH55" s="84">
        <f t="shared" si="21"/>
        <v>-5167.76</v>
      </c>
      <c r="AI55" s="83">
        <v>661.51</v>
      </c>
      <c r="AJ55" s="83">
        <v>1389.36</v>
      </c>
      <c r="AK55" s="83">
        <v>1258.31</v>
      </c>
      <c r="AL55" s="83">
        <v>1985.27</v>
      </c>
      <c r="AM55" s="83">
        <v>60</v>
      </c>
      <c r="AN55" s="83">
        <v>60</v>
      </c>
      <c r="AO55" s="83">
        <v>60</v>
      </c>
      <c r="AP55" s="83">
        <v>60</v>
      </c>
      <c r="AQ55" s="86">
        <v>2353.1799999999998</v>
      </c>
      <c r="AR55" s="87">
        <v>44</v>
      </c>
      <c r="AS55" s="87">
        <v>7</v>
      </c>
      <c r="AT55" s="87">
        <v>2</v>
      </c>
      <c r="AU55" s="87">
        <v>6</v>
      </c>
      <c r="AV55" s="82">
        <f t="shared" si="19"/>
        <v>59</v>
      </c>
      <c r="AW55" s="88">
        <v>36.380000000000003</v>
      </c>
      <c r="AX55" s="88">
        <v>85.4</v>
      </c>
      <c r="AY55" s="88">
        <v>112.16</v>
      </c>
      <c r="AZ55" s="88">
        <v>170.79</v>
      </c>
      <c r="BA55" s="88">
        <f t="shared" si="22"/>
        <v>3447.58</v>
      </c>
      <c r="BB55" s="83">
        <f t="shared" si="37"/>
        <v>3741.5</v>
      </c>
      <c r="BC55" s="84">
        <f t="shared" si="38"/>
        <v>-1250.1666666666665</v>
      </c>
      <c r="BD55" s="83">
        <f t="shared" si="39"/>
        <v>2491.3333333333335</v>
      </c>
      <c r="BE55" s="83">
        <v>43.06</v>
      </c>
      <c r="BF55" s="83">
        <v>85.4</v>
      </c>
      <c r="BG55" s="83">
        <v>112.16</v>
      </c>
      <c r="BH55" s="83">
        <v>170.79</v>
      </c>
      <c r="BI55" s="84">
        <v>-15.166666666666666</v>
      </c>
      <c r="BJ55" s="84">
        <v>-32.5</v>
      </c>
      <c r="BK55" s="84">
        <v>-28.166666666666668</v>
      </c>
      <c r="BL55" s="84">
        <v>-49.833333333333336</v>
      </c>
      <c r="BM55" s="86">
        <v>98</v>
      </c>
      <c r="BN55" s="87">
        <v>41</v>
      </c>
      <c r="BO55" s="87">
        <v>7</v>
      </c>
      <c r="BP55" s="87">
        <v>0</v>
      </c>
      <c r="BQ55" s="87">
        <v>6</v>
      </c>
      <c r="BR55" s="83">
        <f t="shared" si="7"/>
        <v>431.78000000000003</v>
      </c>
      <c r="BS55" s="84">
        <f t="shared" si="40"/>
        <v>-461.5</v>
      </c>
      <c r="BT55" s="84">
        <f t="shared" si="41"/>
        <v>-29.71999999999997</v>
      </c>
      <c r="BU55" s="82">
        <f t="shared" si="42"/>
        <v>54</v>
      </c>
      <c r="BV55" s="83">
        <v>7.03</v>
      </c>
      <c r="BW55" s="83">
        <v>9.57</v>
      </c>
      <c r="BX55" s="83">
        <v>9.61</v>
      </c>
      <c r="BY55" s="83">
        <v>12.76</v>
      </c>
      <c r="BZ55" s="84">
        <v>-6.5</v>
      </c>
      <c r="CA55" s="84">
        <v>-13</v>
      </c>
      <c r="CB55" s="84">
        <v>-10.833333333333334</v>
      </c>
      <c r="CC55" s="84">
        <v>-17.333333333333332</v>
      </c>
      <c r="CD55" s="88">
        <f>454.37+106.34</f>
        <v>560.71</v>
      </c>
      <c r="CE55" s="88">
        <v>1185.32</v>
      </c>
      <c r="CF55" s="88">
        <v>1412.55</v>
      </c>
    </row>
    <row r="56" spans="1:84" ht="12" customHeight="1" x14ac:dyDescent="0.2">
      <c r="A56" s="214">
        <f t="shared" si="11"/>
        <v>44720</v>
      </c>
      <c r="B56" s="86">
        <f>8667.71-AQ56-BM56</f>
        <v>7735.7099999999991</v>
      </c>
      <c r="C56" s="86">
        <v>0</v>
      </c>
      <c r="D56" s="99">
        <f t="shared" si="43"/>
        <v>19754.440000000002</v>
      </c>
      <c r="E56" s="99">
        <f t="shared" si="44"/>
        <v>32844.25</v>
      </c>
      <c r="F56" s="83">
        <f t="shared" si="45"/>
        <v>26.960000000000004</v>
      </c>
      <c r="G56" s="83">
        <f t="shared" si="46"/>
        <v>56.829999999999991</v>
      </c>
      <c r="H56" s="83">
        <f t="shared" si="47"/>
        <v>51.430000000000007</v>
      </c>
      <c r="I56" s="83">
        <f t="shared" si="48"/>
        <v>81.28</v>
      </c>
      <c r="J56" s="83">
        <v>161.36000000000001</v>
      </c>
      <c r="K56" s="83">
        <v>338.85</v>
      </c>
      <c r="L56" s="83">
        <v>306.89999999999998</v>
      </c>
      <c r="M56" s="83">
        <v>484.17</v>
      </c>
      <c r="N56" s="83">
        <v>60.09</v>
      </c>
      <c r="O56" s="83">
        <v>126.19</v>
      </c>
      <c r="P56" s="83">
        <v>114.28</v>
      </c>
      <c r="Q56" s="83">
        <v>180.3</v>
      </c>
      <c r="R56" s="83">
        <v>413.1</v>
      </c>
      <c r="S56" s="83">
        <v>867.49</v>
      </c>
      <c r="T56" s="83">
        <v>785.7</v>
      </c>
      <c r="U56" s="83">
        <v>1239.52</v>
      </c>
      <c r="V56" s="87">
        <v>43</v>
      </c>
      <c r="W56" s="87">
        <v>7</v>
      </c>
      <c r="X56" s="87">
        <v>2</v>
      </c>
      <c r="Y56" s="87">
        <v>6</v>
      </c>
      <c r="Z56" s="87">
        <f t="shared" si="18"/>
        <v>58</v>
      </c>
      <c r="AA56" s="87">
        <v>85</v>
      </c>
      <c r="AB56" s="197">
        <f t="shared" si="16"/>
        <v>906.87396551724146</v>
      </c>
      <c r="AC56" s="197">
        <f t="shared" si="17"/>
        <v>618.80811764705891</v>
      </c>
      <c r="AD56" s="84">
        <v>-65</v>
      </c>
      <c r="AE56" s="84">
        <v>-136.5</v>
      </c>
      <c r="AF56" s="84">
        <v>-123.63</v>
      </c>
      <c r="AG56" s="84">
        <v>-195</v>
      </c>
      <c r="AH56" s="84">
        <f t="shared" si="21"/>
        <v>-5167.76</v>
      </c>
      <c r="AI56" s="83">
        <v>661.51</v>
      </c>
      <c r="AJ56" s="83">
        <v>1389.36</v>
      </c>
      <c r="AK56" s="83">
        <v>1258.31</v>
      </c>
      <c r="AL56" s="83">
        <v>1985.27</v>
      </c>
      <c r="AM56" s="83">
        <v>60</v>
      </c>
      <c r="AN56" s="83">
        <v>60</v>
      </c>
      <c r="AO56" s="83">
        <v>60</v>
      </c>
      <c r="AP56" s="83">
        <v>60</v>
      </c>
      <c r="AQ56" s="86">
        <v>894</v>
      </c>
      <c r="AR56" s="87">
        <v>44</v>
      </c>
      <c r="AS56" s="87">
        <v>7</v>
      </c>
      <c r="AT56" s="87">
        <v>2</v>
      </c>
      <c r="AU56" s="87">
        <v>6</v>
      </c>
      <c r="AV56" s="82">
        <f t="shared" si="19"/>
        <v>59</v>
      </c>
      <c r="AW56" s="88">
        <v>36.380000000000003</v>
      </c>
      <c r="AX56" s="88">
        <v>85.4</v>
      </c>
      <c r="AY56" s="88">
        <v>112.16</v>
      </c>
      <c r="AZ56" s="88">
        <v>170.79</v>
      </c>
      <c r="BA56" s="88">
        <f t="shared" si="22"/>
        <v>3447.58</v>
      </c>
      <c r="BB56" s="83">
        <f t="shared" si="37"/>
        <v>3741.5</v>
      </c>
      <c r="BC56" s="84">
        <f t="shared" si="38"/>
        <v>-1250.1666666666665</v>
      </c>
      <c r="BD56" s="83">
        <f t="shared" si="39"/>
        <v>2491.3333333333335</v>
      </c>
      <c r="BE56" s="83">
        <v>43.06</v>
      </c>
      <c r="BF56" s="83">
        <v>85.4</v>
      </c>
      <c r="BG56" s="83">
        <v>112.16</v>
      </c>
      <c r="BH56" s="83">
        <v>170.79</v>
      </c>
      <c r="BI56" s="84">
        <v>-15.166666666666666</v>
      </c>
      <c r="BJ56" s="84">
        <v>-32.5</v>
      </c>
      <c r="BK56" s="84">
        <v>-28.166666666666668</v>
      </c>
      <c r="BL56" s="84">
        <v>-49.833333333333336</v>
      </c>
      <c r="BM56" s="86">
        <v>38</v>
      </c>
      <c r="BN56" s="87">
        <v>41</v>
      </c>
      <c r="BO56" s="87">
        <v>7</v>
      </c>
      <c r="BP56" s="87">
        <v>0</v>
      </c>
      <c r="BQ56" s="87">
        <v>6</v>
      </c>
      <c r="BR56" s="83">
        <f t="shared" si="7"/>
        <v>431.78000000000003</v>
      </c>
      <c r="BS56" s="84">
        <f t="shared" si="40"/>
        <v>-461.5</v>
      </c>
      <c r="BT56" s="84">
        <f t="shared" si="41"/>
        <v>-29.71999999999997</v>
      </c>
      <c r="BU56" s="82">
        <f t="shared" si="42"/>
        <v>54</v>
      </c>
      <c r="BV56" s="83">
        <v>7.03</v>
      </c>
      <c r="BW56" s="83">
        <v>9.57</v>
      </c>
      <c r="BX56" s="83">
        <v>9.61</v>
      </c>
      <c r="BY56" s="83">
        <v>12.76</v>
      </c>
      <c r="BZ56" s="84">
        <v>-6.5</v>
      </c>
      <c r="CA56" s="84">
        <v>-13</v>
      </c>
      <c r="CB56" s="84">
        <v>-10.833333333333334</v>
      </c>
      <c r="CC56" s="84">
        <v>-17.333333333333332</v>
      </c>
      <c r="CD56" s="88">
        <f>447.32+104.69</f>
        <v>552.01</v>
      </c>
      <c r="CE56" s="88">
        <v>1168.44</v>
      </c>
      <c r="CF56" s="88">
        <v>1389.19</v>
      </c>
    </row>
    <row r="57" spans="1:84" ht="12" customHeight="1" x14ac:dyDescent="0.2">
      <c r="A57" s="214">
        <f t="shared" si="11"/>
        <v>44751</v>
      </c>
      <c r="B57" s="215"/>
      <c r="C57" s="215"/>
      <c r="D57" s="99">
        <f t="shared" si="43"/>
        <v>0</v>
      </c>
      <c r="E57" s="99">
        <f t="shared" si="44"/>
        <v>0</v>
      </c>
      <c r="F57" s="83">
        <f t="shared" si="45"/>
        <v>26.960000000000004</v>
      </c>
      <c r="G57" s="83">
        <f t="shared" si="46"/>
        <v>56.829999999999991</v>
      </c>
      <c r="H57" s="83">
        <f t="shared" si="47"/>
        <v>51.430000000000007</v>
      </c>
      <c r="I57" s="83">
        <f t="shared" si="48"/>
        <v>81.28</v>
      </c>
      <c r="J57" s="83">
        <v>161.36000000000001</v>
      </c>
      <c r="K57" s="83">
        <v>338.85</v>
      </c>
      <c r="L57" s="83">
        <v>306.89999999999998</v>
      </c>
      <c r="M57" s="83">
        <v>484.17</v>
      </c>
      <c r="N57" s="83">
        <v>60.09</v>
      </c>
      <c r="O57" s="83">
        <v>126.19</v>
      </c>
      <c r="P57" s="83">
        <v>114.28</v>
      </c>
      <c r="Q57" s="83">
        <v>180.3</v>
      </c>
      <c r="R57" s="83">
        <v>413.1</v>
      </c>
      <c r="S57" s="83">
        <v>867.49</v>
      </c>
      <c r="T57" s="83">
        <v>785.7</v>
      </c>
      <c r="U57" s="83">
        <v>1239.52</v>
      </c>
      <c r="V57" s="216"/>
      <c r="W57" s="216"/>
      <c r="X57" s="216"/>
      <c r="Y57" s="216"/>
      <c r="Z57" s="87">
        <f t="shared" si="18"/>
        <v>0</v>
      </c>
      <c r="AA57" s="216"/>
      <c r="AB57" s="197">
        <f t="shared" si="16"/>
        <v>0</v>
      </c>
      <c r="AC57" s="197">
        <f t="shared" si="17"/>
        <v>0</v>
      </c>
      <c r="AD57" s="84">
        <v>-65</v>
      </c>
      <c r="AE57" s="84">
        <v>-136.5</v>
      </c>
      <c r="AF57" s="84">
        <v>-123.63</v>
      </c>
      <c r="AG57" s="84">
        <v>-195</v>
      </c>
      <c r="AH57" s="84">
        <f t="shared" si="21"/>
        <v>0</v>
      </c>
      <c r="AI57" s="83">
        <v>661.51</v>
      </c>
      <c r="AJ57" s="83">
        <v>1389.36</v>
      </c>
      <c r="AK57" s="83">
        <v>1258.31</v>
      </c>
      <c r="AL57" s="83">
        <v>1985.27</v>
      </c>
      <c r="AM57" s="83">
        <v>60</v>
      </c>
      <c r="AN57" s="83">
        <v>60</v>
      </c>
      <c r="AO57" s="83">
        <v>60</v>
      </c>
      <c r="AP57" s="83">
        <v>60</v>
      </c>
      <c r="AQ57" s="215"/>
      <c r="AR57" s="216"/>
      <c r="AS57" s="216"/>
      <c r="AT57" s="216"/>
      <c r="AU57" s="216"/>
      <c r="AV57" s="82">
        <f t="shared" si="19"/>
        <v>0</v>
      </c>
      <c r="AW57" s="88">
        <v>36.380000000000003</v>
      </c>
      <c r="AX57" s="88">
        <v>85.4</v>
      </c>
      <c r="AY57" s="88">
        <v>112.16</v>
      </c>
      <c r="AZ57" s="88">
        <v>170.79</v>
      </c>
      <c r="BA57" s="88">
        <f t="shared" si="22"/>
        <v>0</v>
      </c>
      <c r="BB57" s="83">
        <f t="shared" si="37"/>
        <v>0</v>
      </c>
      <c r="BC57" s="84">
        <f t="shared" si="38"/>
        <v>0</v>
      </c>
      <c r="BD57" s="83">
        <f t="shared" si="39"/>
        <v>0</v>
      </c>
      <c r="BE57" s="83">
        <v>43.06</v>
      </c>
      <c r="BF57" s="83">
        <v>85.4</v>
      </c>
      <c r="BG57" s="83">
        <v>112.16</v>
      </c>
      <c r="BH57" s="83">
        <v>170.79</v>
      </c>
      <c r="BI57" s="84">
        <v>-15.166666666666666</v>
      </c>
      <c r="BJ57" s="84">
        <v>-32.5</v>
      </c>
      <c r="BK57" s="84">
        <v>-28.166666666666668</v>
      </c>
      <c r="BL57" s="84">
        <v>-49.833333333333336</v>
      </c>
      <c r="BM57" s="215"/>
      <c r="BN57" s="216"/>
      <c r="BO57" s="216"/>
      <c r="BP57" s="216"/>
      <c r="BQ57" s="216"/>
      <c r="BR57" s="83">
        <f t="shared" si="7"/>
        <v>0</v>
      </c>
      <c r="BS57" s="84">
        <f t="shared" si="40"/>
        <v>0</v>
      </c>
      <c r="BT57" s="84">
        <f t="shared" si="41"/>
        <v>0</v>
      </c>
      <c r="BU57" s="82">
        <f t="shared" si="42"/>
        <v>0</v>
      </c>
      <c r="BV57" s="83">
        <v>7.03</v>
      </c>
      <c r="BW57" s="83">
        <v>9.57</v>
      </c>
      <c r="BX57" s="83">
        <v>9.61</v>
      </c>
      <c r="BY57" s="83">
        <v>12.76</v>
      </c>
      <c r="BZ57" s="84">
        <v>-6.5</v>
      </c>
      <c r="CA57" s="84">
        <v>-13</v>
      </c>
      <c r="CB57" s="84">
        <v>-10.833333333333334</v>
      </c>
      <c r="CC57" s="84">
        <v>-17.333333333333332</v>
      </c>
      <c r="CD57" s="217"/>
      <c r="CE57" s="217"/>
      <c r="CF57" s="217"/>
    </row>
    <row r="58" spans="1:84" ht="12" customHeight="1" x14ac:dyDescent="0.2">
      <c r="A58" s="214">
        <f t="shared" si="11"/>
        <v>44782</v>
      </c>
      <c r="B58" s="215"/>
      <c r="C58" s="215"/>
      <c r="D58" s="99">
        <f t="shared" si="43"/>
        <v>0</v>
      </c>
      <c r="E58" s="99">
        <f t="shared" si="44"/>
        <v>0</v>
      </c>
      <c r="F58" s="83">
        <f t="shared" si="45"/>
        <v>26.960000000000004</v>
      </c>
      <c r="G58" s="83">
        <f t="shared" si="46"/>
        <v>56.829999999999991</v>
      </c>
      <c r="H58" s="83">
        <f t="shared" si="47"/>
        <v>51.430000000000007</v>
      </c>
      <c r="I58" s="83">
        <f t="shared" si="48"/>
        <v>81.28</v>
      </c>
      <c r="J58" s="83">
        <v>161.36000000000001</v>
      </c>
      <c r="K58" s="83">
        <v>338.85</v>
      </c>
      <c r="L58" s="83">
        <v>306.89999999999998</v>
      </c>
      <c r="M58" s="83">
        <v>484.17</v>
      </c>
      <c r="N58" s="83">
        <v>60.09</v>
      </c>
      <c r="O58" s="83">
        <v>126.19</v>
      </c>
      <c r="P58" s="83">
        <v>114.28</v>
      </c>
      <c r="Q58" s="83">
        <v>180.3</v>
      </c>
      <c r="R58" s="83">
        <v>413.1</v>
      </c>
      <c r="S58" s="83">
        <v>867.49</v>
      </c>
      <c r="T58" s="83">
        <v>785.7</v>
      </c>
      <c r="U58" s="83">
        <v>1239.52</v>
      </c>
      <c r="V58" s="216"/>
      <c r="W58" s="216"/>
      <c r="X58" s="216"/>
      <c r="Y58" s="216"/>
      <c r="Z58" s="87">
        <f t="shared" si="18"/>
        <v>0</v>
      </c>
      <c r="AA58" s="216"/>
      <c r="AB58" s="197">
        <f t="shared" si="16"/>
        <v>0</v>
      </c>
      <c r="AC58" s="197">
        <f t="shared" si="17"/>
        <v>0</v>
      </c>
      <c r="AD58" s="84">
        <v>-65</v>
      </c>
      <c r="AE58" s="84">
        <v>-136.5</v>
      </c>
      <c r="AF58" s="84">
        <v>-123.63</v>
      </c>
      <c r="AG58" s="84">
        <v>-195</v>
      </c>
      <c r="AH58" s="84">
        <f t="shared" si="21"/>
        <v>0</v>
      </c>
      <c r="AI58" s="83">
        <v>661.51</v>
      </c>
      <c r="AJ58" s="83">
        <v>1389.36</v>
      </c>
      <c r="AK58" s="83">
        <v>1258.31</v>
      </c>
      <c r="AL58" s="83">
        <v>1985.27</v>
      </c>
      <c r="AM58" s="83">
        <v>60</v>
      </c>
      <c r="AN58" s="83">
        <v>60</v>
      </c>
      <c r="AO58" s="83">
        <v>60</v>
      </c>
      <c r="AP58" s="83">
        <v>60</v>
      </c>
      <c r="AQ58" s="215"/>
      <c r="AR58" s="216"/>
      <c r="AS58" s="216"/>
      <c r="AT58" s="216"/>
      <c r="AU58" s="216"/>
      <c r="AV58" s="82">
        <f t="shared" si="19"/>
        <v>0</v>
      </c>
      <c r="AW58" s="88">
        <v>36.380000000000003</v>
      </c>
      <c r="AX58" s="88">
        <v>85.4</v>
      </c>
      <c r="AY58" s="88">
        <v>112.16</v>
      </c>
      <c r="AZ58" s="88">
        <v>170.79</v>
      </c>
      <c r="BA58" s="88">
        <f t="shared" si="22"/>
        <v>0</v>
      </c>
      <c r="BB58" s="83">
        <f t="shared" si="37"/>
        <v>0</v>
      </c>
      <c r="BC58" s="84">
        <f t="shared" si="38"/>
        <v>0</v>
      </c>
      <c r="BD58" s="83">
        <f t="shared" si="39"/>
        <v>0</v>
      </c>
      <c r="BE58" s="83">
        <v>43.06</v>
      </c>
      <c r="BF58" s="83">
        <v>85.4</v>
      </c>
      <c r="BG58" s="83">
        <v>112.16</v>
      </c>
      <c r="BH58" s="83">
        <v>170.79</v>
      </c>
      <c r="BI58" s="84">
        <v>-15.166666666666666</v>
      </c>
      <c r="BJ58" s="84">
        <v>-32.5</v>
      </c>
      <c r="BK58" s="84">
        <v>-28.166666666666668</v>
      </c>
      <c r="BL58" s="84">
        <v>-49.833333333333336</v>
      </c>
      <c r="BM58" s="215"/>
      <c r="BN58" s="216"/>
      <c r="BO58" s="216"/>
      <c r="BP58" s="216"/>
      <c r="BQ58" s="216"/>
      <c r="BR58" s="83">
        <f t="shared" si="7"/>
        <v>0</v>
      </c>
      <c r="BS58" s="84">
        <f t="shared" si="40"/>
        <v>0</v>
      </c>
      <c r="BT58" s="84">
        <f t="shared" si="41"/>
        <v>0</v>
      </c>
      <c r="BU58" s="82">
        <f t="shared" si="42"/>
        <v>0</v>
      </c>
      <c r="BV58" s="83">
        <v>7.03</v>
      </c>
      <c r="BW58" s="83">
        <v>9.57</v>
      </c>
      <c r="BX58" s="83">
        <v>9.61</v>
      </c>
      <c r="BY58" s="83">
        <v>12.76</v>
      </c>
      <c r="BZ58" s="84">
        <v>-6.5</v>
      </c>
      <c r="CA58" s="84">
        <v>-13</v>
      </c>
      <c r="CB58" s="84">
        <v>-10.833333333333334</v>
      </c>
      <c r="CC58" s="84">
        <v>-17.333333333333332</v>
      </c>
      <c r="CD58" s="217"/>
      <c r="CE58" s="217"/>
      <c r="CF58" s="217"/>
    </row>
    <row r="59" spans="1:84" ht="12" customHeight="1" x14ac:dyDescent="0.2">
      <c r="A59" s="214">
        <f t="shared" si="11"/>
        <v>44813</v>
      </c>
      <c r="B59" s="215"/>
      <c r="C59" s="215"/>
      <c r="D59" s="99">
        <f t="shared" si="43"/>
        <v>0</v>
      </c>
      <c r="E59" s="99">
        <f t="shared" si="44"/>
        <v>0</v>
      </c>
      <c r="F59" s="83">
        <f t="shared" si="45"/>
        <v>26.960000000000004</v>
      </c>
      <c r="G59" s="83">
        <f t="shared" si="46"/>
        <v>56.829999999999991</v>
      </c>
      <c r="H59" s="83">
        <f t="shared" si="47"/>
        <v>51.430000000000007</v>
      </c>
      <c r="I59" s="83">
        <f t="shared" si="48"/>
        <v>81.28</v>
      </c>
      <c r="J59" s="83">
        <v>161.36000000000001</v>
      </c>
      <c r="K59" s="83">
        <v>338.85</v>
      </c>
      <c r="L59" s="83">
        <v>306.89999999999998</v>
      </c>
      <c r="M59" s="83">
        <v>484.17</v>
      </c>
      <c r="N59" s="83">
        <v>60.09</v>
      </c>
      <c r="O59" s="83">
        <v>126.19</v>
      </c>
      <c r="P59" s="83">
        <v>114.28</v>
      </c>
      <c r="Q59" s="83">
        <v>180.3</v>
      </c>
      <c r="R59" s="83">
        <v>413.1</v>
      </c>
      <c r="S59" s="83">
        <v>867.49</v>
      </c>
      <c r="T59" s="83">
        <v>785.7</v>
      </c>
      <c r="U59" s="83">
        <v>1239.52</v>
      </c>
      <c r="V59" s="216"/>
      <c r="W59" s="216"/>
      <c r="X59" s="216"/>
      <c r="Y59" s="216"/>
      <c r="Z59" s="87">
        <f t="shared" si="18"/>
        <v>0</v>
      </c>
      <c r="AA59" s="216"/>
      <c r="AB59" s="197" t="e">
        <f t="shared" si="16"/>
        <v>#DIV/0!</v>
      </c>
      <c r="AC59" s="197" t="e">
        <f t="shared" si="17"/>
        <v>#DIV/0!</v>
      </c>
      <c r="AD59" s="84">
        <v>-65</v>
      </c>
      <c r="AE59" s="84">
        <v>-136.5</v>
      </c>
      <c r="AF59" s="84">
        <v>-123.63</v>
      </c>
      <c r="AG59" s="84">
        <v>-195</v>
      </c>
      <c r="AH59" s="84">
        <f t="shared" si="21"/>
        <v>0</v>
      </c>
      <c r="AI59" s="83">
        <v>661.51</v>
      </c>
      <c r="AJ59" s="83">
        <v>1389.36</v>
      </c>
      <c r="AK59" s="83">
        <v>1258.31</v>
      </c>
      <c r="AL59" s="83">
        <v>1985.27</v>
      </c>
      <c r="AM59" s="83">
        <v>60</v>
      </c>
      <c r="AN59" s="83">
        <v>60</v>
      </c>
      <c r="AO59" s="83">
        <v>60</v>
      </c>
      <c r="AP59" s="83">
        <v>60</v>
      </c>
      <c r="AQ59" s="215"/>
      <c r="AR59" s="216"/>
      <c r="AS59" s="216"/>
      <c r="AT59" s="216"/>
      <c r="AU59" s="216"/>
      <c r="AV59" s="82">
        <f t="shared" si="19"/>
        <v>0</v>
      </c>
      <c r="AW59" s="88">
        <v>36.380000000000003</v>
      </c>
      <c r="AX59" s="88">
        <v>85.4</v>
      </c>
      <c r="AY59" s="88">
        <v>112.16</v>
      </c>
      <c r="AZ59" s="88">
        <v>170.79</v>
      </c>
      <c r="BA59" s="88">
        <f t="shared" si="22"/>
        <v>0</v>
      </c>
      <c r="BB59" s="83">
        <f t="shared" si="37"/>
        <v>0</v>
      </c>
      <c r="BC59" s="84">
        <f t="shared" si="38"/>
        <v>0</v>
      </c>
      <c r="BD59" s="83">
        <f t="shared" si="39"/>
        <v>0</v>
      </c>
      <c r="BE59" s="83">
        <v>43.06</v>
      </c>
      <c r="BF59" s="83">
        <v>85.4</v>
      </c>
      <c r="BG59" s="83">
        <v>112.16</v>
      </c>
      <c r="BH59" s="83">
        <v>170.79</v>
      </c>
      <c r="BI59" s="84">
        <v>-15.166666666666666</v>
      </c>
      <c r="BJ59" s="84">
        <v>-32.5</v>
      </c>
      <c r="BK59" s="84">
        <v>-28.166666666666668</v>
      </c>
      <c r="BL59" s="84">
        <v>-49.833333333333336</v>
      </c>
      <c r="BM59" s="215"/>
      <c r="BN59" s="216"/>
      <c r="BO59" s="216"/>
      <c r="BP59" s="216"/>
      <c r="BQ59" s="216"/>
      <c r="BR59" s="83">
        <f t="shared" si="7"/>
        <v>0</v>
      </c>
      <c r="BS59" s="84">
        <f t="shared" si="40"/>
        <v>0</v>
      </c>
      <c r="BT59" s="84">
        <f t="shared" si="41"/>
        <v>0</v>
      </c>
      <c r="BU59" s="82">
        <f t="shared" si="42"/>
        <v>0</v>
      </c>
      <c r="BV59" s="83">
        <v>7.03</v>
      </c>
      <c r="BW59" s="83">
        <v>9.57</v>
      </c>
      <c r="BX59" s="83">
        <v>9.61</v>
      </c>
      <c r="BY59" s="83">
        <v>12.76</v>
      </c>
      <c r="BZ59" s="84">
        <v>-6.5</v>
      </c>
      <c r="CA59" s="84">
        <v>-13</v>
      </c>
      <c r="CB59" s="84">
        <v>-10.833333333333334</v>
      </c>
      <c r="CC59" s="84">
        <v>-17.333333333333332</v>
      </c>
      <c r="CD59" s="217"/>
      <c r="CE59" s="217"/>
      <c r="CF59" s="217"/>
    </row>
    <row r="60" spans="1:84" ht="12" customHeight="1" x14ac:dyDescent="0.2">
      <c r="A60" s="214">
        <f t="shared" si="11"/>
        <v>44844</v>
      </c>
      <c r="B60" s="215"/>
      <c r="C60" s="215"/>
      <c r="D60" s="99">
        <f t="shared" si="43"/>
        <v>0</v>
      </c>
      <c r="E60" s="99">
        <f t="shared" si="44"/>
        <v>0</v>
      </c>
      <c r="F60" s="83">
        <f t="shared" si="45"/>
        <v>26.960000000000004</v>
      </c>
      <c r="G60" s="83">
        <f t="shared" si="46"/>
        <v>56.829999999999991</v>
      </c>
      <c r="H60" s="83">
        <f t="shared" si="47"/>
        <v>51.430000000000007</v>
      </c>
      <c r="I60" s="83">
        <f t="shared" si="48"/>
        <v>81.28</v>
      </c>
      <c r="J60" s="83">
        <v>161.36000000000001</v>
      </c>
      <c r="K60" s="83">
        <v>338.85</v>
      </c>
      <c r="L60" s="83">
        <v>306.89999999999998</v>
      </c>
      <c r="M60" s="83">
        <v>484.17</v>
      </c>
      <c r="N60" s="83">
        <v>60.09</v>
      </c>
      <c r="O60" s="83">
        <v>126.19</v>
      </c>
      <c r="P60" s="83">
        <v>114.28</v>
      </c>
      <c r="Q60" s="83">
        <v>180.3</v>
      </c>
      <c r="R60" s="83">
        <v>413.1</v>
      </c>
      <c r="S60" s="83">
        <v>867.49</v>
      </c>
      <c r="T60" s="83">
        <v>785.7</v>
      </c>
      <c r="U60" s="83">
        <v>1239.52</v>
      </c>
      <c r="V60" s="216"/>
      <c r="W60" s="216"/>
      <c r="X60" s="216"/>
      <c r="Y60" s="216"/>
      <c r="Z60" s="87">
        <f t="shared" si="18"/>
        <v>0</v>
      </c>
      <c r="AA60" s="216"/>
      <c r="AB60" s="197" t="e">
        <f t="shared" si="16"/>
        <v>#DIV/0!</v>
      </c>
      <c r="AC60" s="197" t="e">
        <f t="shared" si="17"/>
        <v>#DIV/0!</v>
      </c>
      <c r="AD60" s="84">
        <v>-65</v>
      </c>
      <c r="AE60" s="84">
        <v>-136.5</v>
      </c>
      <c r="AF60" s="84">
        <v>-123.63</v>
      </c>
      <c r="AG60" s="84">
        <v>-195</v>
      </c>
      <c r="AH60" s="84">
        <f t="shared" si="21"/>
        <v>0</v>
      </c>
      <c r="AI60" s="83">
        <v>661.51</v>
      </c>
      <c r="AJ60" s="83">
        <v>1389.36</v>
      </c>
      <c r="AK60" s="83">
        <v>1258.31</v>
      </c>
      <c r="AL60" s="83">
        <v>1985.27</v>
      </c>
      <c r="AM60" s="83">
        <v>60</v>
      </c>
      <c r="AN60" s="83">
        <v>60</v>
      </c>
      <c r="AO60" s="83">
        <v>60</v>
      </c>
      <c r="AP60" s="83">
        <v>60</v>
      </c>
      <c r="AQ60" s="215"/>
      <c r="AR60" s="216"/>
      <c r="AS60" s="216"/>
      <c r="AT60" s="216"/>
      <c r="AU60" s="216"/>
      <c r="AV60" s="82">
        <f t="shared" si="19"/>
        <v>0</v>
      </c>
      <c r="AW60" s="88">
        <v>36.380000000000003</v>
      </c>
      <c r="AX60" s="88">
        <v>85.4</v>
      </c>
      <c r="AY60" s="88">
        <v>112.16</v>
      </c>
      <c r="AZ60" s="88">
        <v>170.79</v>
      </c>
      <c r="BA60" s="88">
        <f t="shared" si="22"/>
        <v>0</v>
      </c>
      <c r="BB60" s="83">
        <f t="shared" si="37"/>
        <v>0</v>
      </c>
      <c r="BC60" s="84">
        <f t="shared" si="38"/>
        <v>0</v>
      </c>
      <c r="BD60" s="83">
        <f t="shared" si="39"/>
        <v>0</v>
      </c>
      <c r="BE60" s="83">
        <v>43.06</v>
      </c>
      <c r="BF60" s="83">
        <v>85.4</v>
      </c>
      <c r="BG60" s="83">
        <v>112.16</v>
      </c>
      <c r="BH60" s="83">
        <v>170.79</v>
      </c>
      <c r="BI60" s="84">
        <v>-15.166666666666666</v>
      </c>
      <c r="BJ60" s="84">
        <v>-32.5</v>
      </c>
      <c r="BK60" s="84">
        <v>-28.166666666666668</v>
      </c>
      <c r="BL60" s="84">
        <v>-49.833333333333336</v>
      </c>
      <c r="BM60" s="215"/>
      <c r="BN60" s="216"/>
      <c r="BO60" s="216"/>
      <c r="BP60" s="216"/>
      <c r="BQ60" s="216"/>
      <c r="BR60" s="83">
        <f t="shared" si="7"/>
        <v>0</v>
      </c>
      <c r="BS60" s="84">
        <f t="shared" si="40"/>
        <v>0</v>
      </c>
      <c r="BT60" s="84">
        <f t="shared" si="41"/>
        <v>0</v>
      </c>
      <c r="BU60" s="82">
        <f t="shared" si="42"/>
        <v>0</v>
      </c>
      <c r="BV60" s="83">
        <v>7.03</v>
      </c>
      <c r="BW60" s="83">
        <v>9.57</v>
      </c>
      <c r="BX60" s="83">
        <v>9.61</v>
      </c>
      <c r="BY60" s="83">
        <v>12.76</v>
      </c>
      <c r="BZ60" s="84">
        <v>-6.5</v>
      </c>
      <c r="CA60" s="84">
        <v>-13</v>
      </c>
      <c r="CB60" s="84">
        <v>-10.833333333333334</v>
      </c>
      <c r="CC60" s="84">
        <v>-17.333333333333332</v>
      </c>
      <c r="CD60" s="217"/>
      <c r="CE60" s="217"/>
      <c r="CF60" s="217"/>
    </row>
    <row r="61" spans="1:84" ht="12" customHeight="1" x14ac:dyDescent="0.2">
      <c r="A61" s="214">
        <f t="shared" si="11"/>
        <v>44875</v>
      </c>
      <c r="B61" s="215"/>
      <c r="C61" s="215"/>
      <c r="D61" s="99">
        <f t="shared" si="43"/>
        <v>0</v>
      </c>
      <c r="E61" s="99">
        <f t="shared" si="44"/>
        <v>0</v>
      </c>
      <c r="F61" s="83">
        <f t="shared" si="45"/>
        <v>26.960000000000004</v>
      </c>
      <c r="G61" s="83">
        <f t="shared" si="46"/>
        <v>56.829999999999991</v>
      </c>
      <c r="H61" s="83">
        <f t="shared" si="47"/>
        <v>51.430000000000007</v>
      </c>
      <c r="I61" s="83">
        <f t="shared" si="48"/>
        <v>81.28</v>
      </c>
      <c r="J61" s="83">
        <v>161.36000000000001</v>
      </c>
      <c r="K61" s="83">
        <v>338.85</v>
      </c>
      <c r="L61" s="83">
        <v>306.89999999999998</v>
      </c>
      <c r="M61" s="83">
        <v>484.17</v>
      </c>
      <c r="N61" s="83">
        <v>60.09</v>
      </c>
      <c r="O61" s="83">
        <v>126.19</v>
      </c>
      <c r="P61" s="83">
        <v>114.28</v>
      </c>
      <c r="Q61" s="83">
        <v>180.3</v>
      </c>
      <c r="R61" s="83">
        <v>413.1</v>
      </c>
      <c r="S61" s="83">
        <v>867.49</v>
      </c>
      <c r="T61" s="83">
        <v>785.7</v>
      </c>
      <c r="U61" s="83">
        <v>1239.52</v>
      </c>
      <c r="V61" s="216"/>
      <c r="W61" s="216"/>
      <c r="X61" s="216"/>
      <c r="Y61" s="216"/>
      <c r="Z61" s="87">
        <f t="shared" si="18"/>
        <v>0</v>
      </c>
      <c r="AA61" s="216"/>
      <c r="AB61" s="197" t="e">
        <f t="shared" si="16"/>
        <v>#DIV/0!</v>
      </c>
      <c r="AC61" s="197" t="e">
        <f t="shared" si="17"/>
        <v>#DIV/0!</v>
      </c>
      <c r="AD61" s="84">
        <v>-65</v>
      </c>
      <c r="AE61" s="84">
        <v>-136.5</v>
      </c>
      <c r="AF61" s="84">
        <v>-123.63</v>
      </c>
      <c r="AG61" s="84">
        <v>-195</v>
      </c>
      <c r="AH61" s="84">
        <f t="shared" si="21"/>
        <v>0</v>
      </c>
      <c r="AI61" s="83">
        <v>661.51</v>
      </c>
      <c r="AJ61" s="83">
        <v>1389.36</v>
      </c>
      <c r="AK61" s="83">
        <v>1258.31</v>
      </c>
      <c r="AL61" s="83">
        <v>1985.27</v>
      </c>
      <c r="AM61" s="83">
        <v>60</v>
      </c>
      <c r="AN61" s="83">
        <v>60</v>
      </c>
      <c r="AO61" s="83">
        <v>60</v>
      </c>
      <c r="AP61" s="83">
        <v>60</v>
      </c>
      <c r="AQ61" s="215"/>
      <c r="AR61" s="216"/>
      <c r="AS61" s="216"/>
      <c r="AT61" s="216"/>
      <c r="AU61" s="216"/>
      <c r="AV61" s="82">
        <f t="shared" si="19"/>
        <v>0</v>
      </c>
      <c r="AW61" s="88">
        <v>36.380000000000003</v>
      </c>
      <c r="AX61" s="88">
        <v>85.4</v>
      </c>
      <c r="AY61" s="88">
        <v>112.16</v>
      </c>
      <c r="AZ61" s="88">
        <v>170.79</v>
      </c>
      <c r="BA61" s="88">
        <f t="shared" si="22"/>
        <v>0</v>
      </c>
      <c r="BB61" s="83">
        <f t="shared" si="37"/>
        <v>0</v>
      </c>
      <c r="BC61" s="84">
        <f t="shared" si="38"/>
        <v>0</v>
      </c>
      <c r="BD61" s="83">
        <f t="shared" si="39"/>
        <v>0</v>
      </c>
      <c r="BE61" s="83">
        <v>43.06</v>
      </c>
      <c r="BF61" s="83">
        <v>85.4</v>
      </c>
      <c r="BG61" s="83">
        <v>112.16</v>
      </c>
      <c r="BH61" s="83">
        <v>170.79</v>
      </c>
      <c r="BI61" s="84">
        <v>-15.166666666666666</v>
      </c>
      <c r="BJ61" s="84">
        <v>-32.5</v>
      </c>
      <c r="BK61" s="84">
        <v>-28.166666666666668</v>
      </c>
      <c r="BL61" s="84">
        <v>-49.833333333333336</v>
      </c>
      <c r="BM61" s="215"/>
      <c r="BN61" s="216"/>
      <c r="BO61" s="216"/>
      <c r="BP61" s="216"/>
      <c r="BQ61" s="216"/>
      <c r="BR61" s="83">
        <f t="shared" si="7"/>
        <v>0</v>
      </c>
      <c r="BS61" s="84">
        <f t="shared" si="40"/>
        <v>0</v>
      </c>
      <c r="BT61" s="84">
        <f t="shared" si="41"/>
        <v>0</v>
      </c>
      <c r="BU61" s="82">
        <f t="shared" si="42"/>
        <v>0</v>
      </c>
      <c r="BV61" s="83">
        <v>7.03</v>
      </c>
      <c r="BW61" s="83">
        <v>9.57</v>
      </c>
      <c r="BX61" s="83">
        <v>9.61</v>
      </c>
      <c r="BY61" s="83">
        <v>12.76</v>
      </c>
      <c r="BZ61" s="84">
        <v>-6.5</v>
      </c>
      <c r="CA61" s="84">
        <v>-13</v>
      </c>
      <c r="CB61" s="84">
        <v>-10.833333333333334</v>
      </c>
      <c r="CC61" s="84">
        <v>-17.333333333333332</v>
      </c>
      <c r="CD61" s="217"/>
      <c r="CE61" s="217"/>
      <c r="CF61" s="217"/>
    </row>
    <row r="62" spans="1:84" ht="12" customHeight="1" x14ac:dyDescent="0.2">
      <c r="A62" s="214">
        <f t="shared" si="11"/>
        <v>44906</v>
      </c>
      <c r="B62" s="215"/>
      <c r="C62" s="215"/>
      <c r="D62" s="99">
        <f t="shared" si="43"/>
        <v>0</v>
      </c>
      <c r="E62" s="99">
        <f t="shared" si="44"/>
        <v>0</v>
      </c>
      <c r="F62" s="83">
        <f t="shared" si="45"/>
        <v>26.960000000000004</v>
      </c>
      <c r="G62" s="83">
        <f t="shared" si="46"/>
        <v>56.829999999999991</v>
      </c>
      <c r="H62" s="83">
        <f t="shared" si="47"/>
        <v>51.430000000000007</v>
      </c>
      <c r="I62" s="83">
        <f t="shared" si="48"/>
        <v>81.28</v>
      </c>
      <c r="J62" s="83">
        <v>161.36000000000001</v>
      </c>
      <c r="K62" s="83">
        <v>338.85</v>
      </c>
      <c r="L62" s="83">
        <v>306.89999999999998</v>
      </c>
      <c r="M62" s="83">
        <v>484.17</v>
      </c>
      <c r="N62" s="83">
        <v>60.09</v>
      </c>
      <c r="O62" s="83">
        <v>126.19</v>
      </c>
      <c r="P62" s="83">
        <v>114.28</v>
      </c>
      <c r="Q62" s="83">
        <v>180.3</v>
      </c>
      <c r="R62" s="83">
        <v>413.1</v>
      </c>
      <c r="S62" s="83">
        <v>867.49</v>
      </c>
      <c r="T62" s="83">
        <v>785.7</v>
      </c>
      <c r="U62" s="83">
        <v>1239.52</v>
      </c>
      <c r="V62" s="216"/>
      <c r="W62" s="216"/>
      <c r="X62" s="216"/>
      <c r="Y62" s="216"/>
      <c r="Z62" s="87">
        <f t="shared" si="18"/>
        <v>0</v>
      </c>
      <c r="AA62" s="216"/>
      <c r="AB62" s="197" t="e">
        <f t="shared" si="16"/>
        <v>#DIV/0!</v>
      </c>
      <c r="AC62" s="197" t="e">
        <f t="shared" si="17"/>
        <v>#DIV/0!</v>
      </c>
      <c r="AD62" s="84">
        <v>-65</v>
      </c>
      <c r="AE62" s="84">
        <v>-136.5</v>
      </c>
      <c r="AF62" s="84">
        <v>-123.63</v>
      </c>
      <c r="AG62" s="84">
        <v>-195</v>
      </c>
      <c r="AH62" s="84">
        <f t="shared" si="21"/>
        <v>0</v>
      </c>
      <c r="AI62" s="83">
        <v>661.51</v>
      </c>
      <c r="AJ62" s="83">
        <v>1389.36</v>
      </c>
      <c r="AK62" s="83">
        <v>1258.31</v>
      </c>
      <c r="AL62" s="83">
        <v>1985.27</v>
      </c>
      <c r="AM62" s="83">
        <v>60</v>
      </c>
      <c r="AN62" s="83">
        <v>60</v>
      </c>
      <c r="AO62" s="83">
        <v>60</v>
      </c>
      <c r="AP62" s="83">
        <v>60</v>
      </c>
      <c r="AQ62" s="215"/>
      <c r="AR62" s="216"/>
      <c r="AS62" s="216"/>
      <c r="AT62" s="216"/>
      <c r="AU62" s="216"/>
      <c r="AV62" s="82">
        <f t="shared" si="19"/>
        <v>0</v>
      </c>
      <c r="AW62" s="88">
        <v>36.380000000000003</v>
      </c>
      <c r="AX62" s="88">
        <v>85.4</v>
      </c>
      <c r="AY62" s="88">
        <v>112.16</v>
      </c>
      <c r="AZ62" s="88">
        <v>170.79</v>
      </c>
      <c r="BA62" s="88">
        <f t="shared" si="22"/>
        <v>0</v>
      </c>
      <c r="BB62" s="83">
        <f t="shared" si="37"/>
        <v>0</v>
      </c>
      <c r="BC62" s="84">
        <f t="shared" si="38"/>
        <v>0</v>
      </c>
      <c r="BD62" s="83">
        <f t="shared" si="39"/>
        <v>0</v>
      </c>
      <c r="BE62" s="83">
        <v>43.06</v>
      </c>
      <c r="BF62" s="83">
        <v>85.4</v>
      </c>
      <c r="BG62" s="83">
        <v>112.16</v>
      </c>
      <c r="BH62" s="83">
        <v>170.79</v>
      </c>
      <c r="BI62" s="84">
        <v>-15.166666666666666</v>
      </c>
      <c r="BJ62" s="84">
        <v>-32.5</v>
      </c>
      <c r="BK62" s="84">
        <v>-28.166666666666668</v>
      </c>
      <c r="BL62" s="84">
        <v>-49.833333333333336</v>
      </c>
      <c r="BM62" s="215"/>
      <c r="BN62" s="216"/>
      <c r="BO62" s="216"/>
      <c r="BP62" s="216"/>
      <c r="BQ62" s="216"/>
      <c r="BR62" s="83">
        <f t="shared" si="7"/>
        <v>0</v>
      </c>
      <c r="BS62" s="84">
        <f t="shared" si="40"/>
        <v>0</v>
      </c>
      <c r="BT62" s="84">
        <f t="shared" si="41"/>
        <v>0</v>
      </c>
      <c r="BU62" s="82">
        <f t="shared" si="42"/>
        <v>0</v>
      </c>
      <c r="BV62" s="83">
        <v>7.03</v>
      </c>
      <c r="BW62" s="83">
        <v>9.57</v>
      </c>
      <c r="BX62" s="83">
        <v>9.61</v>
      </c>
      <c r="BY62" s="83">
        <v>12.76</v>
      </c>
      <c r="BZ62" s="84">
        <v>-6.5</v>
      </c>
      <c r="CA62" s="84">
        <v>-13</v>
      </c>
      <c r="CB62" s="84">
        <v>-10.833333333333334</v>
      </c>
      <c r="CC62" s="84">
        <v>-17.333333333333332</v>
      </c>
      <c r="CD62" s="217"/>
      <c r="CE62" s="217"/>
      <c r="CF62" s="217"/>
    </row>
    <row r="63" spans="1:84" ht="12" customHeight="1" x14ac:dyDescent="0.2">
      <c r="A63" s="214"/>
    </row>
    <row r="64" spans="1:84" ht="12" customHeight="1" x14ac:dyDescent="0.2">
      <c r="A64" s="214"/>
    </row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</sheetData>
  <pageMargins left="0.7" right="0.7" top="0.75" bottom="0.75" header="0.3" footer="0.3"/>
  <pageSetup orientation="portrait" r:id="rId1"/>
  <ignoredErrors>
    <ignoredError sqref="Z7:Z50 Z3:Z6 AH3:AH51 AV3:AV44 AV46:AV50 BB3:BC44 BR3:BU50 BB46:BC50 Z51:Z62 AH52:AH62 BB52:BB62 BC52:BC62 BR52:BS62 BU51:BU53" formulaRange="1"/>
    <ignoredError sqref="AV45 BB45:BC45" formula="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6"/>
  <sheetViews>
    <sheetView showGridLines="0" tabSelected="1" topLeftCell="A37" zoomScale="110" zoomScaleNormal="110" workbookViewId="0">
      <selection activeCell="O20" sqref="O20"/>
    </sheetView>
  </sheetViews>
  <sheetFormatPr defaultRowHeight="12.75" x14ac:dyDescent="0.2"/>
  <cols>
    <col min="1" max="1" width="7.7109375" style="121" customWidth="1"/>
    <col min="2" max="6" width="16.5703125" style="82" customWidth="1"/>
    <col min="7" max="7" width="7.85546875" style="82" customWidth="1"/>
    <col min="8" max="8" width="7.5703125" style="120" customWidth="1"/>
    <col min="9" max="9" width="16.5703125" style="120" customWidth="1"/>
    <col min="10" max="10" width="16.28515625" style="120" customWidth="1"/>
    <col min="11" max="11" width="15.85546875" style="120" customWidth="1"/>
    <col min="12" max="19" width="16.5703125" style="120" customWidth="1"/>
    <col min="20" max="16384" width="9.140625" style="120"/>
  </cols>
  <sheetData>
    <row r="1" spans="1:15" ht="15.75" x14ac:dyDescent="0.25">
      <c r="A1" s="119" t="s">
        <v>146</v>
      </c>
      <c r="H1" s="119" t="s">
        <v>147</v>
      </c>
      <c r="I1" s="82"/>
      <c r="J1" s="82"/>
      <c r="K1" s="82"/>
      <c r="L1" s="82"/>
      <c r="M1" s="82"/>
      <c r="N1" s="82"/>
    </row>
    <row r="2" spans="1:15" x14ac:dyDescent="0.2">
      <c r="H2" s="121"/>
      <c r="I2" s="82"/>
      <c r="J2" s="82"/>
      <c r="K2" s="82"/>
      <c r="L2" s="82"/>
      <c r="M2" s="82"/>
      <c r="N2" s="82"/>
    </row>
    <row r="3" spans="1:15" s="124" customFormat="1" ht="26.25" thickBot="1" x14ac:dyDescent="0.25">
      <c r="A3" s="122"/>
      <c r="B3" s="123" t="s">
        <v>80</v>
      </c>
      <c r="C3" s="123" t="s">
        <v>81</v>
      </c>
      <c r="D3" s="123" t="s">
        <v>82</v>
      </c>
      <c r="E3" s="123" t="s">
        <v>83</v>
      </c>
      <c r="F3" s="123" t="s">
        <v>84</v>
      </c>
      <c r="G3" s="123"/>
      <c r="H3" s="122"/>
      <c r="I3" s="123" t="s">
        <v>87</v>
      </c>
      <c r="J3" s="123" t="s">
        <v>113</v>
      </c>
      <c r="K3" s="123" t="s">
        <v>114</v>
      </c>
      <c r="L3" s="123" t="s">
        <v>122</v>
      </c>
      <c r="M3" s="123" t="s">
        <v>86</v>
      </c>
      <c r="N3" s="123" t="s">
        <v>88</v>
      </c>
      <c r="O3" s="123" t="s">
        <v>89</v>
      </c>
    </row>
    <row r="4" spans="1:15" x14ac:dyDescent="0.2">
      <c r="A4" s="121">
        <v>44562</v>
      </c>
      <c r="B4" s="111">
        <f>Data!V51</f>
        <v>41</v>
      </c>
      <c r="C4" s="112">
        <f>Data!W51</f>
        <v>7</v>
      </c>
      <c r="D4" s="112">
        <f>Data!X51</f>
        <v>2</v>
      </c>
      <c r="E4" s="112">
        <f>Data!Y51</f>
        <v>6</v>
      </c>
      <c r="F4" s="113">
        <f>Data!Z51</f>
        <v>56</v>
      </c>
      <c r="H4" s="121">
        <f>A4</f>
        <v>44562</v>
      </c>
      <c r="I4" s="104">
        <f>SUMPRODUCT(Data!F51:I51,Data!V51:Y51)</f>
        <v>2093.71</v>
      </c>
      <c r="J4" s="105">
        <f>SUMPRODUCT(Data!J51:M51,Data!V51:Y51)</f>
        <v>12506.53</v>
      </c>
      <c r="K4" s="105">
        <f>SUMPRODUCT(Data!N51:Q51,Data!V51:Y51)</f>
        <v>4657.38</v>
      </c>
      <c r="L4" s="105">
        <f>SUMPRODUCT(Data!R51:U51,Data!V51:Y51)</f>
        <v>32018.050000000003</v>
      </c>
      <c r="M4" s="105">
        <f t="shared" ref="M4:M9" si="0">SUM(I4:L4)</f>
        <v>51275.670000000006</v>
      </c>
      <c r="N4" s="105">
        <f>Data!AH51</f>
        <v>-5037.76</v>
      </c>
      <c r="O4" s="106">
        <f t="shared" ref="O4:O9" si="1">M4+N4</f>
        <v>46237.91</v>
      </c>
    </row>
    <row r="5" spans="1:15" x14ac:dyDescent="0.2">
      <c r="A5" s="121">
        <f>31+A4</f>
        <v>44593</v>
      </c>
      <c r="B5" s="101">
        <f>Data!V52</f>
        <v>41</v>
      </c>
      <c r="C5" s="102">
        <f>Data!W52</f>
        <v>7</v>
      </c>
      <c r="D5" s="102">
        <f>Data!X52</f>
        <v>2</v>
      </c>
      <c r="E5" s="102">
        <f>Data!Y52</f>
        <v>6</v>
      </c>
      <c r="F5" s="103">
        <f>Data!Z52</f>
        <v>56</v>
      </c>
      <c r="H5" s="121">
        <f>31+H4</f>
        <v>44593</v>
      </c>
      <c r="I5" s="107">
        <f>SUMPRODUCT(Data!F52:I52,Data!V52:Y52)</f>
        <v>2093.71</v>
      </c>
      <c r="J5" s="84">
        <f>SUMPRODUCT(Data!J52:M52,Data!V52:Y52)</f>
        <v>12506.53</v>
      </c>
      <c r="K5" s="84">
        <f>SUMPRODUCT(Data!N52:Q52,Data!V52:Y52)</f>
        <v>4657.38</v>
      </c>
      <c r="L5" s="84">
        <f>SUMPRODUCT(Data!R52:U52,Data!V52:Y52)</f>
        <v>32018.050000000003</v>
      </c>
      <c r="M5" s="84">
        <f t="shared" si="0"/>
        <v>51275.670000000006</v>
      </c>
      <c r="N5" s="84">
        <f>Data!AH52</f>
        <v>-5037.76</v>
      </c>
      <c r="O5" s="108">
        <f t="shared" si="1"/>
        <v>46237.91</v>
      </c>
    </row>
    <row r="6" spans="1:15" ht="13.5" customHeight="1" x14ac:dyDescent="0.2">
      <c r="A6" s="121">
        <f t="shared" ref="A6:A15" si="2">31+A5</f>
        <v>44624</v>
      </c>
      <c r="B6" s="101">
        <f>Data!V53</f>
        <v>42</v>
      </c>
      <c r="C6" s="102">
        <f>Data!W53</f>
        <v>7</v>
      </c>
      <c r="D6" s="102">
        <f>Data!X53</f>
        <v>2</v>
      </c>
      <c r="E6" s="102">
        <f>Data!Y53</f>
        <v>6</v>
      </c>
      <c r="F6" s="103">
        <f>Data!Z53</f>
        <v>57</v>
      </c>
      <c r="H6" s="121">
        <f t="shared" ref="H6:H15" si="3">31+H5</f>
        <v>44624</v>
      </c>
      <c r="I6" s="107">
        <f>SUMPRODUCT(Data!F53:I53,Data!V53:Y53)</f>
        <v>2120.67</v>
      </c>
      <c r="J6" s="84">
        <f>SUMPRODUCT(Data!J53:M53,Data!V53:Y53)</f>
        <v>12667.890000000001</v>
      </c>
      <c r="K6" s="84">
        <f>SUMPRODUCT(Data!N53:Q53,Data!V53:Y53)</f>
        <v>4717.47</v>
      </c>
      <c r="L6" s="84">
        <f>SUMPRODUCT(Data!R53:U53,Data!V53:Y53)</f>
        <v>32431.15</v>
      </c>
      <c r="M6" s="84">
        <f t="shared" si="0"/>
        <v>51937.180000000008</v>
      </c>
      <c r="N6" s="84">
        <f>Data!AH53</f>
        <v>-5102.76</v>
      </c>
      <c r="O6" s="108">
        <f t="shared" si="1"/>
        <v>46834.420000000006</v>
      </c>
    </row>
    <row r="7" spans="1:15" x14ac:dyDescent="0.2">
      <c r="A7" s="121">
        <f t="shared" si="2"/>
        <v>44655</v>
      </c>
      <c r="B7" s="101">
        <f>Data!V54</f>
        <v>43</v>
      </c>
      <c r="C7" s="102">
        <f>Data!W54</f>
        <v>7</v>
      </c>
      <c r="D7" s="102">
        <f>Data!X54</f>
        <v>2</v>
      </c>
      <c r="E7" s="102">
        <f>Data!Y54</f>
        <v>6</v>
      </c>
      <c r="F7" s="103">
        <f>Data!Z54</f>
        <v>58</v>
      </c>
      <c r="H7" s="121">
        <f t="shared" si="3"/>
        <v>44655</v>
      </c>
      <c r="I7" s="107">
        <f>SUMPRODUCT(Data!F54:I54,Data!V54:Y54)</f>
        <v>2147.63</v>
      </c>
      <c r="J7" s="84">
        <f>SUMPRODUCT(Data!J54:M54,Data!V54:Y54)</f>
        <v>12829.25</v>
      </c>
      <c r="K7" s="84">
        <f>SUMPRODUCT(Data!N54:Q54,Data!V54:Y54)</f>
        <v>4777.5600000000004</v>
      </c>
      <c r="L7" s="84">
        <f>SUMPRODUCT(Data!R54:U54,Data!V54:Y54)</f>
        <v>32844.25</v>
      </c>
      <c r="M7" s="84">
        <f t="shared" si="0"/>
        <v>52598.69</v>
      </c>
      <c r="N7" s="84">
        <f>Data!AH54</f>
        <v>-5167.76</v>
      </c>
      <c r="O7" s="108">
        <f t="shared" si="1"/>
        <v>47430.93</v>
      </c>
    </row>
    <row r="8" spans="1:15" x14ac:dyDescent="0.2">
      <c r="A8" s="121">
        <f t="shared" si="2"/>
        <v>44686</v>
      </c>
      <c r="B8" s="101">
        <f>Data!V55</f>
        <v>43</v>
      </c>
      <c r="C8" s="102">
        <f>Data!W55</f>
        <v>7</v>
      </c>
      <c r="D8" s="102">
        <f>Data!X55</f>
        <v>2</v>
      </c>
      <c r="E8" s="102">
        <f>Data!Y55</f>
        <v>6</v>
      </c>
      <c r="F8" s="103">
        <f>Data!Z55</f>
        <v>58</v>
      </c>
      <c r="H8" s="121">
        <f t="shared" si="3"/>
        <v>44686</v>
      </c>
      <c r="I8" s="107">
        <f>SUMPRODUCT(Data!F55:I55,Data!V55:Y55)</f>
        <v>2147.63</v>
      </c>
      <c r="J8" s="84">
        <f>SUMPRODUCT(Data!J55:M55,Data!V55:Y55)</f>
        <v>12829.25</v>
      </c>
      <c r="K8" s="84">
        <f>SUMPRODUCT(Data!N55:Q55,Data!V55:Y55)</f>
        <v>4777.5600000000004</v>
      </c>
      <c r="L8" s="84">
        <f>SUMPRODUCT(Data!R55:U55,Data!V55:Y55)</f>
        <v>32844.25</v>
      </c>
      <c r="M8" s="84">
        <f t="shared" si="0"/>
        <v>52598.69</v>
      </c>
      <c r="N8" s="84">
        <f>Data!AH55</f>
        <v>-5167.76</v>
      </c>
      <c r="O8" s="108">
        <f t="shared" si="1"/>
        <v>47430.93</v>
      </c>
    </row>
    <row r="9" spans="1:15" x14ac:dyDescent="0.2">
      <c r="A9" s="121">
        <f t="shared" si="2"/>
        <v>44717</v>
      </c>
      <c r="B9" s="101">
        <f>Data!V56</f>
        <v>43</v>
      </c>
      <c r="C9" s="102">
        <f>Data!W56</f>
        <v>7</v>
      </c>
      <c r="D9" s="102">
        <f>Data!X56</f>
        <v>2</v>
      </c>
      <c r="E9" s="102">
        <f>Data!Y56</f>
        <v>6</v>
      </c>
      <c r="F9" s="103">
        <f>Data!Z56</f>
        <v>58</v>
      </c>
      <c r="H9" s="121">
        <f t="shared" si="3"/>
        <v>44717</v>
      </c>
      <c r="I9" s="107">
        <f>SUMPRODUCT(Data!F56:I56,Data!V56:Y56)</f>
        <v>2147.63</v>
      </c>
      <c r="J9" s="84">
        <f>SUMPRODUCT(Data!J56:M56,Data!V56:Y56)</f>
        <v>12829.25</v>
      </c>
      <c r="K9" s="84">
        <f>SUMPRODUCT(Data!N56:Q56,Data!V56:Y56)</f>
        <v>4777.5600000000004</v>
      </c>
      <c r="L9" s="84">
        <f>SUMPRODUCT(Data!R56:U56,Data!V56:Y56)</f>
        <v>32844.25</v>
      </c>
      <c r="M9" s="84">
        <f t="shared" si="0"/>
        <v>52598.69</v>
      </c>
      <c r="N9" s="84">
        <f>Data!AH56</f>
        <v>-5167.76</v>
      </c>
      <c r="O9" s="108">
        <f t="shared" si="1"/>
        <v>47430.93</v>
      </c>
    </row>
    <row r="10" spans="1:15" x14ac:dyDescent="0.2">
      <c r="A10" s="121">
        <f t="shared" si="2"/>
        <v>44748</v>
      </c>
      <c r="B10" s="101"/>
      <c r="C10" s="102"/>
      <c r="D10" s="102"/>
      <c r="E10" s="102"/>
      <c r="F10" s="103"/>
      <c r="H10" s="121">
        <f t="shared" si="3"/>
        <v>44748</v>
      </c>
      <c r="I10" s="107"/>
      <c r="J10" s="84"/>
      <c r="K10" s="84"/>
      <c r="L10" s="84"/>
      <c r="M10" s="84"/>
      <c r="N10" s="84"/>
      <c r="O10" s="108"/>
    </row>
    <row r="11" spans="1:15" x14ac:dyDescent="0.2">
      <c r="A11" s="121">
        <f t="shared" si="2"/>
        <v>44779</v>
      </c>
      <c r="B11" s="101"/>
      <c r="C11" s="102"/>
      <c r="D11" s="102"/>
      <c r="E11" s="102"/>
      <c r="F11" s="103"/>
      <c r="H11" s="121">
        <f t="shared" si="3"/>
        <v>44779</v>
      </c>
      <c r="I11" s="107"/>
      <c r="J11" s="84"/>
      <c r="K11" s="84"/>
      <c r="L11" s="84"/>
      <c r="M11" s="84"/>
      <c r="N11" s="84"/>
      <c r="O11" s="108"/>
    </row>
    <row r="12" spans="1:15" x14ac:dyDescent="0.2">
      <c r="A12" s="121">
        <f t="shared" si="2"/>
        <v>44810</v>
      </c>
      <c r="B12" s="101"/>
      <c r="C12" s="102"/>
      <c r="D12" s="102"/>
      <c r="E12" s="102"/>
      <c r="F12" s="103"/>
      <c r="H12" s="121">
        <f t="shared" si="3"/>
        <v>44810</v>
      </c>
      <c r="I12" s="107"/>
      <c r="J12" s="84"/>
      <c r="K12" s="84"/>
      <c r="L12" s="84"/>
      <c r="M12" s="84"/>
      <c r="N12" s="84"/>
      <c r="O12" s="108"/>
    </row>
    <row r="13" spans="1:15" x14ac:dyDescent="0.2">
      <c r="A13" s="121">
        <f t="shared" si="2"/>
        <v>44841</v>
      </c>
      <c r="B13" s="101"/>
      <c r="C13" s="102"/>
      <c r="D13" s="102"/>
      <c r="E13" s="102"/>
      <c r="F13" s="103"/>
      <c r="H13" s="121">
        <f t="shared" si="3"/>
        <v>44841</v>
      </c>
      <c r="I13" s="107"/>
      <c r="J13" s="84"/>
      <c r="K13" s="84"/>
      <c r="L13" s="84"/>
      <c r="M13" s="84"/>
      <c r="N13" s="84"/>
      <c r="O13" s="108"/>
    </row>
    <row r="14" spans="1:15" x14ac:dyDescent="0.2">
      <c r="A14" s="121">
        <f t="shared" si="2"/>
        <v>44872</v>
      </c>
      <c r="B14" s="101"/>
      <c r="C14" s="102"/>
      <c r="D14" s="102"/>
      <c r="E14" s="102"/>
      <c r="F14" s="103"/>
      <c r="H14" s="121">
        <f t="shared" si="3"/>
        <v>44872</v>
      </c>
      <c r="I14" s="107"/>
      <c r="J14" s="84"/>
      <c r="K14" s="84"/>
      <c r="L14" s="84"/>
      <c r="M14" s="84"/>
      <c r="N14" s="84"/>
      <c r="O14" s="108"/>
    </row>
    <row r="15" spans="1:15" ht="12.75" customHeight="1" thickBot="1" x14ac:dyDescent="0.25">
      <c r="A15" s="121">
        <f t="shared" si="2"/>
        <v>44903</v>
      </c>
      <c r="B15" s="137"/>
      <c r="C15" s="138"/>
      <c r="D15" s="138"/>
      <c r="E15" s="138"/>
      <c r="F15" s="139"/>
      <c r="H15" s="121">
        <f t="shared" si="3"/>
        <v>44903</v>
      </c>
      <c r="I15" s="140"/>
      <c r="J15" s="141"/>
      <c r="K15" s="141"/>
      <c r="L15" s="141"/>
      <c r="M15" s="141"/>
      <c r="N15" s="141"/>
      <c r="O15" s="142"/>
    </row>
    <row r="16" spans="1:15" x14ac:dyDescent="0.2">
      <c r="A16" s="125" t="s">
        <v>90</v>
      </c>
      <c r="B16" s="126">
        <f>AVERAGE(B4:B15)</f>
        <v>42.166666666666664</v>
      </c>
      <c r="C16" s="126">
        <f>AVERAGE(C4:C15)</f>
        <v>7</v>
      </c>
      <c r="D16" s="126">
        <f>AVERAGE(D4:D15)</f>
        <v>2</v>
      </c>
      <c r="E16" s="126">
        <f>AVERAGE(E4:E15)</f>
        <v>6</v>
      </c>
      <c r="F16" s="126">
        <f>AVERAGE(F4:F15)</f>
        <v>57.166666666666664</v>
      </c>
      <c r="G16" s="127"/>
      <c r="H16" s="125" t="s">
        <v>91</v>
      </c>
      <c r="I16" s="128">
        <f>SUM(I4:I15)</f>
        <v>12750.980000000003</v>
      </c>
      <c r="J16" s="128">
        <f t="shared" ref="J16:O16" si="4">SUM(J4:J15)</f>
        <v>76168.700000000012</v>
      </c>
      <c r="K16" s="128">
        <f t="shared" si="4"/>
        <v>28364.910000000003</v>
      </c>
      <c r="L16" s="128">
        <f t="shared" si="4"/>
        <v>195000</v>
      </c>
      <c r="M16" s="128">
        <f t="shared" si="4"/>
        <v>312284.59000000003</v>
      </c>
      <c r="N16" s="128">
        <f t="shared" si="4"/>
        <v>-30681.560000000005</v>
      </c>
      <c r="O16" s="128">
        <f t="shared" si="4"/>
        <v>281603.03000000003</v>
      </c>
    </row>
    <row r="17" spans="1:16" x14ac:dyDescent="0.2">
      <c r="M17" s="231"/>
      <c r="O17" s="231"/>
    </row>
    <row r="18" spans="1:16" ht="15.75" x14ac:dyDescent="0.25">
      <c r="A18" s="119" t="s">
        <v>148</v>
      </c>
      <c r="H18" s="119" t="s">
        <v>92</v>
      </c>
      <c r="I18" s="82"/>
      <c r="J18" s="82"/>
      <c r="K18" s="82"/>
      <c r="L18" s="82"/>
    </row>
    <row r="19" spans="1:16" x14ac:dyDescent="0.2">
      <c r="H19" s="121"/>
      <c r="I19" s="82"/>
      <c r="J19" s="82"/>
      <c r="K19" s="82"/>
      <c r="L19" s="82"/>
    </row>
    <row r="20" spans="1:16" s="124" customFormat="1" ht="26.25" thickBot="1" x14ac:dyDescent="0.25">
      <c r="A20" s="122"/>
      <c r="B20" s="129" t="s">
        <v>141</v>
      </c>
      <c r="C20" s="129" t="s">
        <v>123</v>
      </c>
      <c r="D20" s="129" t="s">
        <v>111</v>
      </c>
      <c r="G20" s="123"/>
      <c r="H20" s="122"/>
      <c r="I20" s="129" t="s">
        <v>111</v>
      </c>
      <c r="J20" s="130" t="s">
        <v>112</v>
      </c>
      <c r="K20" s="129" t="s">
        <v>124</v>
      </c>
      <c r="L20" s="136"/>
      <c r="M20" s="136"/>
      <c r="N20" s="136"/>
      <c r="O20" s="237"/>
      <c r="P20" s="109"/>
    </row>
    <row r="21" spans="1:16" ht="13.5" thickBot="1" x14ac:dyDescent="0.25">
      <c r="A21" s="121">
        <f>A4</f>
        <v>44562</v>
      </c>
      <c r="B21" s="104">
        <f>Data!B51</f>
        <v>9845.7999999999993</v>
      </c>
      <c r="C21" s="144">
        <f>(Data!C51)*-1</f>
        <v>0</v>
      </c>
      <c r="D21" s="106">
        <f t="shared" ref="D21:D26" si="5">B21+C21</f>
        <v>9845.7999999999993</v>
      </c>
      <c r="H21" s="121">
        <f>A4</f>
        <v>44562</v>
      </c>
      <c r="I21" s="104">
        <f t="shared" ref="I21:I26" si="6">D21+L40</f>
        <v>13412.039999999999</v>
      </c>
      <c r="J21" s="114">
        <f>Data!E51+Data!BA51</f>
        <v>35392.870000000003</v>
      </c>
      <c r="K21" s="207">
        <f t="shared" ref="K21:K26" si="7">J21-I21</f>
        <v>21980.83</v>
      </c>
      <c r="L21" s="86"/>
      <c r="M21" s="88"/>
      <c r="N21" s="88"/>
      <c r="P21" s="109"/>
    </row>
    <row r="22" spans="1:16" x14ac:dyDescent="0.2">
      <c r="A22" s="121">
        <f>31+A21</f>
        <v>44593</v>
      </c>
      <c r="B22" s="107">
        <f>Data!B52</f>
        <v>5127.58</v>
      </c>
      <c r="C22" s="86">
        <f>(Data!C52)*-1</f>
        <v>0</v>
      </c>
      <c r="D22" s="108">
        <f t="shared" si="5"/>
        <v>5127.58</v>
      </c>
      <c r="H22" s="121">
        <f>31+H21</f>
        <v>44593</v>
      </c>
      <c r="I22" s="107">
        <f t="shared" si="6"/>
        <v>5636.58</v>
      </c>
      <c r="J22" s="83">
        <f>Data!E52+Data!BA52</f>
        <v>35392.870000000003</v>
      </c>
      <c r="K22" s="208">
        <f t="shared" si="7"/>
        <v>29756.29</v>
      </c>
      <c r="L22" s="86"/>
      <c r="M22" s="151" t="s">
        <v>125</v>
      </c>
      <c r="N22" s="148" t="s">
        <v>124</v>
      </c>
      <c r="O22" s="152">
        <f>K33</f>
        <v>136015.15</v>
      </c>
      <c r="P22" s="109"/>
    </row>
    <row r="23" spans="1:16" x14ac:dyDescent="0.2">
      <c r="A23" s="121">
        <f t="shared" ref="A23:A32" si="8">31+A22</f>
        <v>44624</v>
      </c>
      <c r="B23" s="107">
        <f>Data!B53</f>
        <v>4206.6400000000003</v>
      </c>
      <c r="C23" s="86">
        <f>(Data!C53)*-1</f>
        <v>0</v>
      </c>
      <c r="D23" s="108">
        <f t="shared" si="5"/>
        <v>4206.6400000000003</v>
      </c>
      <c r="H23" s="121">
        <f t="shared" ref="H23:H32" si="9">31+H22</f>
        <v>44624</v>
      </c>
      <c r="I23" s="107">
        <f t="shared" si="6"/>
        <v>5200.51</v>
      </c>
      <c r="J23" s="83">
        <f>Data!E53+Data!BA53</f>
        <v>35842.350000000006</v>
      </c>
      <c r="K23" s="208">
        <f t="shared" si="7"/>
        <v>30641.840000000004</v>
      </c>
      <c r="L23" s="86"/>
      <c r="M23" s="153" t="s">
        <v>126</v>
      </c>
      <c r="N23" s="149" t="s">
        <v>127</v>
      </c>
      <c r="O23" s="110">
        <f>(25%*J31)</f>
        <v>0</v>
      </c>
      <c r="P23" s="109"/>
    </row>
    <row r="24" spans="1:16" x14ac:dyDescent="0.2">
      <c r="A24" s="121">
        <f t="shared" si="8"/>
        <v>44655</v>
      </c>
      <c r="B24" s="107">
        <f>Data!B54</f>
        <v>10139.39</v>
      </c>
      <c r="C24" s="86">
        <f>(Data!C54)*-1</f>
        <v>0</v>
      </c>
      <c r="D24" s="108">
        <f t="shared" si="5"/>
        <v>10139.39</v>
      </c>
      <c r="H24" s="121">
        <f t="shared" si="9"/>
        <v>44655</v>
      </c>
      <c r="I24" s="107">
        <f t="shared" si="6"/>
        <v>10396.39</v>
      </c>
      <c r="J24" s="83">
        <f>Data!E54+Data!BA54</f>
        <v>36291.83</v>
      </c>
      <c r="K24" s="208">
        <f t="shared" si="7"/>
        <v>25895.440000000002</v>
      </c>
      <c r="L24" s="86"/>
      <c r="M24" s="153" t="s">
        <v>128</v>
      </c>
      <c r="N24" s="149" t="s">
        <v>129</v>
      </c>
      <c r="O24" s="110">
        <f>50%*J32</f>
        <v>0</v>
      </c>
      <c r="P24" s="109"/>
    </row>
    <row r="25" spans="1:16" x14ac:dyDescent="0.2">
      <c r="A25" s="121">
        <f t="shared" si="8"/>
        <v>44686</v>
      </c>
      <c r="B25" s="107">
        <f>Data!B55</f>
        <v>33860.020000000004</v>
      </c>
      <c r="C25" s="86">
        <f>(Data!C55)*-1</f>
        <v>0</v>
      </c>
      <c r="D25" s="108">
        <f t="shared" si="5"/>
        <v>33860.020000000004</v>
      </c>
      <c r="H25" s="121">
        <f t="shared" si="9"/>
        <v>44686</v>
      </c>
      <c r="I25" s="107">
        <f t="shared" si="6"/>
        <v>36213.200000000004</v>
      </c>
      <c r="J25" s="83">
        <f>Data!E55+Data!BA55</f>
        <v>36291.83</v>
      </c>
      <c r="K25" s="208">
        <f t="shared" si="7"/>
        <v>78.629999999997381</v>
      </c>
      <c r="L25" s="86"/>
      <c r="M25" s="153" t="s">
        <v>130</v>
      </c>
      <c r="N25" s="149" t="s">
        <v>131</v>
      </c>
      <c r="O25" s="110">
        <f>O23+O24</f>
        <v>0</v>
      </c>
      <c r="P25" s="109"/>
    </row>
    <row r="26" spans="1:16" x14ac:dyDescent="0.2">
      <c r="A26" s="121">
        <f t="shared" si="8"/>
        <v>44717</v>
      </c>
      <c r="B26" s="107">
        <f>Data!B56</f>
        <v>7735.7099999999991</v>
      </c>
      <c r="C26" s="86">
        <f>(Data!C56)*-1</f>
        <v>0</v>
      </c>
      <c r="D26" s="108">
        <f t="shared" si="5"/>
        <v>7735.7099999999991</v>
      </c>
      <c r="H26" s="121">
        <f t="shared" si="9"/>
        <v>44717</v>
      </c>
      <c r="I26" s="107">
        <f t="shared" si="6"/>
        <v>8629.7099999999991</v>
      </c>
      <c r="J26" s="83">
        <f>Data!E56+Data!BA56</f>
        <v>36291.83</v>
      </c>
      <c r="K26" s="208">
        <f t="shared" si="7"/>
        <v>27662.120000000003</v>
      </c>
      <c r="L26" s="86"/>
      <c r="M26" s="153"/>
      <c r="N26" s="149"/>
      <c r="O26" s="110"/>
    </row>
    <row r="27" spans="1:16" x14ac:dyDescent="0.2">
      <c r="A27" s="121">
        <f t="shared" si="8"/>
        <v>44748</v>
      </c>
      <c r="B27" s="107"/>
      <c r="C27" s="86"/>
      <c r="D27" s="108"/>
      <c r="H27" s="121">
        <f t="shared" si="9"/>
        <v>44748</v>
      </c>
      <c r="I27" s="107"/>
      <c r="J27" s="83"/>
      <c r="K27" s="208"/>
      <c r="L27" s="86"/>
      <c r="M27" s="153" t="s">
        <v>132</v>
      </c>
      <c r="N27" s="149" t="s">
        <v>133</v>
      </c>
      <c r="O27" s="110">
        <f>O22-O25</f>
        <v>136015.15</v>
      </c>
    </row>
    <row r="28" spans="1:16" x14ac:dyDescent="0.2">
      <c r="A28" s="121">
        <f t="shared" si="8"/>
        <v>44779</v>
      </c>
      <c r="B28" s="107"/>
      <c r="C28" s="86"/>
      <c r="D28" s="108"/>
      <c r="H28" s="121">
        <f t="shared" si="9"/>
        <v>44779</v>
      </c>
      <c r="I28" s="107"/>
      <c r="J28" s="83"/>
      <c r="K28" s="208"/>
      <c r="L28" s="86"/>
      <c r="M28" s="154" t="s">
        <v>134</v>
      </c>
      <c r="N28" s="149" t="s">
        <v>138</v>
      </c>
      <c r="O28" s="116">
        <v>0.5</v>
      </c>
    </row>
    <row r="29" spans="1:16" ht="13.5" thickBot="1" x14ac:dyDescent="0.25">
      <c r="A29" s="121">
        <f t="shared" si="8"/>
        <v>44810</v>
      </c>
      <c r="B29" s="107"/>
      <c r="C29" s="86"/>
      <c r="D29" s="108"/>
      <c r="H29" s="121">
        <f t="shared" si="9"/>
        <v>44810</v>
      </c>
      <c r="I29" s="107"/>
      <c r="J29" s="83"/>
      <c r="K29" s="208"/>
      <c r="L29" s="86"/>
      <c r="M29" s="155" t="s">
        <v>135</v>
      </c>
      <c r="N29" s="150" t="s">
        <v>136</v>
      </c>
      <c r="O29" s="156">
        <f>O27*O28</f>
        <v>68007.574999999997</v>
      </c>
    </row>
    <row r="30" spans="1:16" x14ac:dyDescent="0.2">
      <c r="A30" s="121">
        <f t="shared" si="8"/>
        <v>44841</v>
      </c>
      <c r="B30" s="107"/>
      <c r="C30" s="86"/>
      <c r="D30" s="108"/>
      <c r="H30" s="121">
        <f t="shared" si="9"/>
        <v>44841</v>
      </c>
      <c r="I30" s="107"/>
      <c r="J30" s="83"/>
      <c r="K30" s="208"/>
      <c r="L30" s="86"/>
      <c r="M30" s="157"/>
      <c r="N30" s="157"/>
      <c r="O30" s="157"/>
    </row>
    <row r="31" spans="1:16" x14ac:dyDescent="0.2">
      <c r="A31" s="121">
        <f t="shared" si="8"/>
        <v>44872</v>
      </c>
      <c r="B31" s="107"/>
      <c r="C31" s="86"/>
      <c r="D31" s="108"/>
      <c r="H31" s="121">
        <f t="shared" si="9"/>
        <v>44872</v>
      </c>
      <c r="I31" s="107"/>
      <c r="J31" s="83"/>
      <c r="K31" s="208"/>
      <c r="L31" s="86"/>
      <c r="M31" s="232" t="s">
        <v>150</v>
      </c>
      <c r="N31" s="232"/>
      <c r="O31" s="232"/>
    </row>
    <row r="32" spans="1:16" ht="13.5" thickBot="1" x14ac:dyDescent="0.25">
      <c r="A32" s="121">
        <f t="shared" si="8"/>
        <v>44903</v>
      </c>
      <c r="B32" s="140"/>
      <c r="C32" s="91"/>
      <c r="D32" s="142"/>
      <c r="H32" s="121">
        <f t="shared" si="9"/>
        <v>44903</v>
      </c>
      <c r="I32" s="140"/>
      <c r="J32" s="147"/>
      <c r="K32" s="209"/>
      <c r="L32" s="86"/>
      <c r="M32" s="232"/>
      <c r="N32" s="232"/>
      <c r="O32" s="232"/>
    </row>
    <row r="33" spans="1:14" x14ac:dyDescent="0.2">
      <c r="A33" s="125" t="s">
        <v>91</v>
      </c>
      <c r="B33" s="128">
        <f>SUM(B21:B32)</f>
        <v>70915.140000000014</v>
      </c>
      <c r="C33" s="128">
        <f>SUM(C21:C32)</f>
        <v>0</v>
      </c>
      <c r="D33" s="128">
        <f>SUM(D21:D32)</f>
        <v>70915.140000000014</v>
      </c>
      <c r="G33" s="131"/>
      <c r="H33" s="125" t="s">
        <v>91</v>
      </c>
      <c r="I33" s="128">
        <f>SUM(I21:I32)</f>
        <v>79488.429999999993</v>
      </c>
      <c r="J33" s="128">
        <f>SUM(J21:J32)</f>
        <v>215503.58000000002</v>
      </c>
      <c r="K33" s="134">
        <f>SUM(K21:K32)</f>
        <v>136015.15</v>
      </c>
      <c r="L33" s="143"/>
      <c r="M33" s="146"/>
      <c r="N33" s="146"/>
    </row>
    <row r="34" spans="1:14" x14ac:dyDescent="0.2">
      <c r="B34" s="84"/>
      <c r="C34" s="84"/>
      <c r="D34" s="84"/>
      <c r="E34" s="84"/>
      <c r="F34" s="84"/>
      <c r="G34" s="120"/>
      <c r="H34" s="121"/>
      <c r="I34" s="145"/>
      <c r="J34" s="145"/>
      <c r="K34" s="145"/>
      <c r="L34" s="233"/>
      <c r="M34" s="234"/>
      <c r="N34" s="234"/>
    </row>
    <row r="35" spans="1:14" x14ac:dyDescent="0.2">
      <c r="B35" s="84"/>
      <c r="C35" s="84"/>
      <c r="D35" s="84"/>
      <c r="E35" s="84"/>
      <c r="F35" s="84"/>
      <c r="G35" s="120"/>
      <c r="H35" s="121"/>
      <c r="I35" s="145"/>
      <c r="J35" s="145"/>
      <c r="K35" s="145"/>
      <c r="L35" s="233"/>
      <c r="M35" s="234"/>
      <c r="N35" s="234"/>
    </row>
    <row r="36" spans="1:14" ht="12" customHeight="1" x14ac:dyDescent="0.2"/>
    <row r="37" spans="1:14" ht="15.75" x14ac:dyDescent="0.25">
      <c r="A37" s="119" t="s">
        <v>115</v>
      </c>
      <c r="H37" s="119" t="s">
        <v>116</v>
      </c>
      <c r="I37" s="82"/>
      <c r="J37" s="82"/>
      <c r="K37" s="82"/>
      <c r="L37" s="82"/>
    </row>
    <row r="38" spans="1:14" x14ac:dyDescent="0.2">
      <c r="H38" s="121"/>
      <c r="I38" s="82"/>
      <c r="J38" s="82"/>
      <c r="K38" s="82"/>
      <c r="L38" s="82"/>
    </row>
    <row r="39" spans="1:14" s="124" customFormat="1" ht="26.25" thickBot="1" x14ac:dyDescent="0.25">
      <c r="A39" s="122"/>
      <c r="B39" s="123" t="s">
        <v>80</v>
      </c>
      <c r="C39" s="123" t="s">
        <v>81</v>
      </c>
      <c r="D39" s="123" t="s">
        <v>82</v>
      </c>
      <c r="E39" s="123" t="s">
        <v>83</v>
      </c>
      <c r="F39" s="123" t="s">
        <v>84</v>
      </c>
      <c r="G39" s="123"/>
      <c r="H39" s="122"/>
      <c r="I39" s="123" t="s">
        <v>96</v>
      </c>
      <c r="J39" s="123" t="s">
        <v>88</v>
      </c>
      <c r="K39" s="123" t="s">
        <v>97</v>
      </c>
      <c r="L39" s="123" t="s">
        <v>98</v>
      </c>
      <c r="M39" s="123" t="s">
        <v>93</v>
      </c>
    </row>
    <row r="40" spans="1:14" x14ac:dyDescent="0.2">
      <c r="A40" s="121">
        <f>H21</f>
        <v>44562</v>
      </c>
      <c r="B40" s="111">
        <f>Data!AR51</f>
        <v>42</v>
      </c>
      <c r="C40" s="112">
        <f>Data!AS51</f>
        <v>7</v>
      </c>
      <c r="D40" s="112">
        <f>Data!AT51</f>
        <v>2</v>
      </c>
      <c r="E40" s="112">
        <f>Data!AU51</f>
        <v>6</v>
      </c>
      <c r="F40" s="113">
        <f>Data!AV51</f>
        <v>57</v>
      </c>
      <c r="H40" s="121">
        <f>A40</f>
        <v>44562</v>
      </c>
      <c r="I40" s="104">
        <f>Data!BB51</f>
        <v>3655.38</v>
      </c>
      <c r="J40" s="117">
        <f>Data!BC51</f>
        <v>-1219.8333333333335</v>
      </c>
      <c r="K40" s="114">
        <f>Data!BD51</f>
        <v>2435.5466666666666</v>
      </c>
      <c r="L40" s="114">
        <f>Data!AQ51</f>
        <v>3566.24</v>
      </c>
      <c r="M40" s="115">
        <f t="shared" ref="M40:M45" si="10">L40/I40</f>
        <v>0.97561402644868656</v>
      </c>
    </row>
    <row r="41" spans="1:14" x14ac:dyDescent="0.2">
      <c r="A41" s="121">
        <f>31+A40</f>
        <v>44593</v>
      </c>
      <c r="B41" s="101">
        <f>Data!AR52</f>
        <v>42</v>
      </c>
      <c r="C41" s="102">
        <f>Data!AS52</f>
        <v>7</v>
      </c>
      <c r="D41" s="102">
        <f>Data!AT52</f>
        <v>2</v>
      </c>
      <c r="E41" s="102">
        <f>Data!AU52</f>
        <v>6</v>
      </c>
      <c r="F41" s="103">
        <f>Data!AV52</f>
        <v>57</v>
      </c>
      <c r="H41" s="121">
        <f>31+H40</f>
        <v>44593</v>
      </c>
      <c r="I41" s="107">
        <f>Data!BB52</f>
        <v>3655.38</v>
      </c>
      <c r="J41" s="118">
        <f>Data!BC52</f>
        <v>-1219.8333333333335</v>
      </c>
      <c r="K41" s="83">
        <f>Data!BD52</f>
        <v>2435.5466666666666</v>
      </c>
      <c r="L41" s="83">
        <f>Data!AQ52</f>
        <v>509</v>
      </c>
      <c r="M41" s="116">
        <f t="shared" si="10"/>
        <v>0.13924680881331078</v>
      </c>
    </row>
    <row r="42" spans="1:14" x14ac:dyDescent="0.2">
      <c r="A42" s="121">
        <f t="shared" ref="A42:A51" si="11">31+A41</f>
        <v>44624</v>
      </c>
      <c r="B42" s="101">
        <f>Data!AR53</f>
        <v>43</v>
      </c>
      <c r="C42" s="102">
        <f>Data!AS53</f>
        <v>7</v>
      </c>
      <c r="D42" s="102">
        <f>Data!AT53</f>
        <v>2</v>
      </c>
      <c r="E42" s="102">
        <f>Data!AU53</f>
        <v>6</v>
      </c>
      <c r="F42" s="103">
        <f>Data!AV53</f>
        <v>58</v>
      </c>
      <c r="H42" s="121">
        <f t="shared" ref="H42:H51" si="12">31+H41</f>
        <v>44624</v>
      </c>
      <c r="I42" s="107">
        <f>Data!BB53</f>
        <v>3698.4400000000005</v>
      </c>
      <c r="J42" s="118">
        <f>Data!BC53</f>
        <v>-1235</v>
      </c>
      <c r="K42" s="83">
        <f>Data!BD53</f>
        <v>2463.4400000000005</v>
      </c>
      <c r="L42" s="83">
        <f>Data!AQ53</f>
        <v>993.87</v>
      </c>
      <c r="M42" s="116">
        <f t="shared" si="10"/>
        <v>0.26872681454883679</v>
      </c>
    </row>
    <row r="43" spans="1:14" x14ac:dyDescent="0.2">
      <c r="A43" s="121">
        <f t="shared" si="11"/>
        <v>44655</v>
      </c>
      <c r="B43" s="101">
        <f>Data!AR54</f>
        <v>44</v>
      </c>
      <c r="C43" s="102">
        <f>Data!AS54</f>
        <v>7</v>
      </c>
      <c r="D43" s="102">
        <f>Data!AT54</f>
        <v>2</v>
      </c>
      <c r="E43" s="102">
        <f>Data!AU54</f>
        <v>6</v>
      </c>
      <c r="F43" s="103">
        <f>Data!AV54</f>
        <v>59</v>
      </c>
      <c r="H43" s="121">
        <f t="shared" si="12"/>
        <v>44655</v>
      </c>
      <c r="I43" s="107">
        <f>Data!BB54</f>
        <v>3741.5</v>
      </c>
      <c r="J43" s="118">
        <f>Data!BC54</f>
        <v>-1250.1666666666665</v>
      </c>
      <c r="K43" s="83">
        <f>Data!BD54</f>
        <v>2491.3333333333335</v>
      </c>
      <c r="L43" s="83">
        <f>Data!AQ54</f>
        <v>257</v>
      </c>
      <c r="M43" s="116">
        <f t="shared" si="10"/>
        <v>6.8689028464519575E-2</v>
      </c>
    </row>
    <row r="44" spans="1:14" x14ac:dyDescent="0.2">
      <c r="A44" s="121">
        <f t="shared" si="11"/>
        <v>44686</v>
      </c>
      <c r="B44" s="101">
        <f>Data!AR55</f>
        <v>44</v>
      </c>
      <c r="C44" s="102">
        <f>Data!AS55</f>
        <v>7</v>
      </c>
      <c r="D44" s="102">
        <f>Data!AT55</f>
        <v>2</v>
      </c>
      <c r="E44" s="102">
        <f>Data!AU55</f>
        <v>6</v>
      </c>
      <c r="F44" s="103">
        <f>Data!AV55</f>
        <v>59</v>
      </c>
      <c r="H44" s="121">
        <f t="shared" si="12"/>
        <v>44686</v>
      </c>
      <c r="I44" s="107">
        <f>Data!BB55</f>
        <v>3741.5</v>
      </c>
      <c r="J44" s="118">
        <f>Data!BC55</f>
        <v>-1250.1666666666665</v>
      </c>
      <c r="K44" s="83">
        <f>Data!BD55</f>
        <v>2491.3333333333335</v>
      </c>
      <c r="L44" s="83">
        <f>Data!AQ55</f>
        <v>2353.1799999999998</v>
      </c>
      <c r="M44" s="116">
        <f t="shared" si="10"/>
        <v>0.62894026459975938</v>
      </c>
    </row>
    <row r="45" spans="1:14" x14ac:dyDescent="0.2">
      <c r="A45" s="121">
        <f t="shared" si="11"/>
        <v>44717</v>
      </c>
      <c r="B45" s="101">
        <f>Data!AR56</f>
        <v>44</v>
      </c>
      <c r="C45" s="102">
        <f>Data!AS56</f>
        <v>7</v>
      </c>
      <c r="D45" s="102">
        <f>Data!AT56</f>
        <v>2</v>
      </c>
      <c r="E45" s="102">
        <f>Data!AU56</f>
        <v>6</v>
      </c>
      <c r="F45" s="103">
        <f>Data!AV56</f>
        <v>59</v>
      </c>
      <c r="H45" s="121">
        <f t="shared" si="12"/>
        <v>44717</v>
      </c>
      <c r="I45" s="107">
        <f>Data!BB56</f>
        <v>3741.5</v>
      </c>
      <c r="J45" s="118">
        <f>Data!BC56</f>
        <v>-1250.1666666666665</v>
      </c>
      <c r="K45" s="83">
        <f>Data!BD56</f>
        <v>2491.3333333333335</v>
      </c>
      <c r="L45" s="83">
        <f>Data!AQ56</f>
        <v>894</v>
      </c>
      <c r="M45" s="116">
        <f t="shared" si="10"/>
        <v>0.23894160096218095</v>
      </c>
    </row>
    <row r="46" spans="1:14" x14ac:dyDescent="0.2">
      <c r="A46" s="121">
        <f t="shared" si="11"/>
        <v>44748</v>
      </c>
      <c r="B46" s="101"/>
      <c r="C46" s="102"/>
      <c r="D46" s="102"/>
      <c r="E46" s="102"/>
      <c r="F46" s="103"/>
      <c r="H46" s="121">
        <f t="shared" si="12"/>
        <v>44748</v>
      </c>
      <c r="I46" s="107"/>
      <c r="J46" s="118"/>
      <c r="K46" s="83"/>
      <c r="L46" s="83"/>
      <c r="M46" s="116"/>
    </row>
    <row r="47" spans="1:14" x14ac:dyDescent="0.2">
      <c r="A47" s="121">
        <f t="shared" si="11"/>
        <v>44779</v>
      </c>
      <c r="B47" s="101"/>
      <c r="C47" s="102"/>
      <c r="D47" s="102"/>
      <c r="E47" s="102"/>
      <c r="F47" s="103"/>
      <c r="H47" s="121">
        <f t="shared" si="12"/>
        <v>44779</v>
      </c>
      <c r="I47" s="107"/>
      <c r="J47" s="118"/>
      <c r="K47" s="83"/>
      <c r="L47" s="83"/>
      <c r="M47" s="116"/>
    </row>
    <row r="48" spans="1:14" x14ac:dyDescent="0.2">
      <c r="A48" s="121">
        <f t="shared" si="11"/>
        <v>44810</v>
      </c>
      <c r="B48" s="101"/>
      <c r="C48" s="102"/>
      <c r="D48" s="102"/>
      <c r="E48" s="102"/>
      <c r="F48" s="103"/>
      <c r="H48" s="121">
        <f t="shared" si="12"/>
        <v>44810</v>
      </c>
      <c r="I48" s="107"/>
      <c r="J48" s="118"/>
      <c r="K48" s="83"/>
      <c r="L48" s="83"/>
      <c r="M48" s="116"/>
    </row>
    <row r="49" spans="1:13" x14ac:dyDescent="0.2">
      <c r="A49" s="121">
        <f t="shared" si="11"/>
        <v>44841</v>
      </c>
      <c r="B49" s="101"/>
      <c r="C49" s="102"/>
      <c r="D49" s="102"/>
      <c r="E49" s="102"/>
      <c r="F49" s="103"/>
      <c r="H49" s="121">
        <f t="shared" si="12"/>
        <v>44841</v>
      </c>
      <c r="I49" s="107"/>
      <c r="J49" s="118"/>
      <c r="K49" s="83"/>
      <c r="L49" s="83"/>
      <c r="M49" s="116"/>
    </row>
    <row r="50" spans="1:13" x14ac:dyDescent="0.2">
      <c r="A50" s="121">
        <f t="shared" si="11"/>
        <v>44872</v>
      </c>
      <c r="B50" s="101"/>
      <c r="C50" s="102"/>
      <c r="D50" s="102"/>
      <c r="E50" s="102"/>
      <c r="F50" s="103"/>
      <c r="H50" s="121">
        <f t="shared" si="12"/>
        <v>44872</v>
      </c>
      <c r="I50" s="107"/>
      <c r="J50" s="118"/>
      <c r="K50" s="83"/>
      <c r="L50" s="83"/>
      <c r="M50" s="116"/>
    </row>
    <row r="51" spans="1:13" ht="13.5" thickBot="1" x14ac:dyDescent="0.25">
      <c r="A51" s="121">
        <f t="shared" si="11"/>
        <v>44903</v>
      </c>
      <c r="B51" s="137"/>
      <c r="C51" s="138"/>
      <c r="D51" s="138"/>
      <c r="E51" s="138"/>
      <c r="F51" s="139"/>
      <c r="H51" s="121">
        <f t="shared" si="12"/>
        <v>44903</v>
      </c>
      <c r="I51" s="140"/>
      <c r="J51" s="163"/>
      <c r="K51" s="147"/>
      <c r="L51" s="147"/>
      <c r="M51" s="162"/>
    </row>
    <row r="52" spans="1:13" s="131" customFormat="1" x14ac:dyDescent="0.2">
      <c r="A52" s="125" t="s">
        <v>90</v>
      </c>
      <c r="B52" s="126">
        <f>AVERAGE(B40:B51)</f>
        <v>43.166666666666664</v>
      </c>
      <c r="C52" s="126">
        <f>AVERAGE(C40:C51)</f>
        <v>7</v>
      </c>
      <c r="D52" s="126">
        <f>AVERAGE(D40:D51)</f>
        <v>2</v>
      </c>
      <c r="E52" s="126">
        <f>AVERAGE(E40:E51)</f>
        <v>6</v>
      </c>
      <c r="F52" s="126">
        <f>AVERAGE(F40:F51)</f>
        <v>58.166666666666664</v>
      </c>
      <c r="H52" s="125" t="s">
        <v>91</v>
      </c>
      <c r="I52" s="128">
        <f>SUM(I40:I51)</f>
        <v>22233.7</v>
      </c>
      <c r="J52" s="134">
        <f>AVERAGE(J40:J51)</f>
        <v>-1237.5277777777776</v>
      </c>
      <c r="K52" s="132">
        <f>SUM(K40:K51)</f>
        <v>14808.533333333335</v>
      </c>
      <c r="L52" s="132">
        <f>SUM(L40:L51)</f>
        <v>8573.2899999999991</v>
      </c>
      <c r="M52" s="133">
        <f>L52/I52</f>
        <v>0.38559888817425791</v>
      </c>
    </row>
    <row r="54" spans="1:13" ht="15.75" x14ac:dyDescent="0.25">
      <c r="A54" s="119" t="s">
        <v>117</v>
      </c>
      <c r="H54" s="119" t="s">
        <v>118</v>
      </c>
      <c r="I54" s="82"/>
      <c r="J54" s="82"/>
      <c r="K54" s="82"/>
      <c r="L54" s="82"/>
    </row>
    <row r="55" spans="1:13" x14ac:dyDescent="0.2">
      <c r="H55" s="121"/>
      <c r="I55" s="82"/>
      <c r="J55" s="82"/>
      <c r="K55" s="82"/>
      <c r="L55" s="82"/>
    </row>
    <row r="56" spans="1:13" s="124" customFormat="1" ht="26.25" thickBot="1" x14ac:dyDescent="0.25">
      <c r="A56" s="122"/>
      <c r="B56" s="123" t="s">
        <v>80</v>
      </c>
      <c r="C56" s="123" t="s">
        <v>81</v>
      </c>
      <c r="D56" s="123" t="s">
        <v>82</v>
      </c>
      <c r="E56" s="123" t="s">
        <v>83</v>
      </c>
      <c r="F56" s="123" t="s">
        <v>84</v>
      </c>
      <c r="G56" s="123"/>
      <c r="H56" s="122"/>
      <c r="I56" s="123" t="s">
        <v>96</v>
      </c>
      <c r="J56" s="123" t="s">
        <v>88</v>
      </c>
      <c r="K56" s="123" t="s">
        <v>97</v>
      </c>
      <c r="L56" s="123" t="s">
        <v>98</v>
      </c>
      <c r="M56" s="123" t="s">
        <v>93</v>
      </c>
    </row>
    <row r="57" spans="1:13" x14ac:dyDescent="0.2">
      <c r="A57" s="121">
        <f>A40</f>
        <v>44562</v>
      </c>
      <c r="B57" s="111">
        <f>Data!BN51</f>
        <v>39</v>
      </c>
      <c r="C57" s="112">
        <f>Data!BO51</f>
        <v>7</v>
      </c>
      <c r="D57" s="112">
        <f>Data!BP51</f>
        <v>0</v>
      </c>
      <c r="E57" s="112">
        <f>Data!BQ51</f>
        <v>6</v>
      </c>
      <c r="F57" s="113">
        <f>Data!BU51</f>
        <v>52</v>
      </c>
      <c r="H57" s="121">
        <f>H40</f>
        <v>44562</v>
      </c>
      <c r="I57" s="104">
        <f>Data!BR51</f>
        <v>417.72</v>
      </c>
      <c r="J57" s="117">
        <f>Data!BS51</f>
        <v>-448.5</v>
      </c>
      <c r="K57" s="105">
        <f>Data!BT51</f>
        <v>-30.779999999999973</v>
      </c>
      <c r="L57" s="114">
        <f>Data!BM51</f>
        <v>135.25</v>
      </c>
      <c r="M57" s="115">
        <f t="shared" ref="M57:M62" si="13">L57/I57</f>
        <v>0.32378148041750454</v>
      </c>
    </row>
    <row r="58" spans="1:13" x14ac:dyDescent="0.2">
      <c r="A58" s="121">
        <f>31+A57</f>
        <v>44593</v>
      </c>
      <c r="B58" s="101">
        <f>Data!BN52</f>
        <v>39</v>
      </c>
      <c r="C58" s="102">
        <f>Data!BO52</f>
        <v>7</v>
      </c>
      <c r="D58" s="102">
        <f>Data!BP52</f>
        <v>0</v>
      </c>
      <c r="E58" s="102">
        <f>Data!BQ52</f>
        <v>6</v>
      </c>
      <c r="F58" s="103">
        <f>Data!BU52</f>
        <v>52</v>
      </c>
      <c r="H58" s="121">
        <f>31+H57</f>
        <v>44593</v>
      </c>
      <c r="I58" s="107">
        <f>Data!BR52</f>
        <v>417.72</v>
      </c>
      <c r="J58" s="118">
        <f>Data!BS52</f>
        <v>-448.5</v>
      </c>
      <c r="K58" s="84">
        <f>Data!BT52</f>
        <v>-30.779999999999973</v>
      </c>
      <c r="L58" s="83">
        <f>Data!BM52</f>
        <v>368</v>
      </c>
      <c r="M58" s="116">
        <f t="shared" si="13"/>
        <v>0.88097290050751698</v>
      </c>
    </row>
    <row r="59" spans="1:13" x14ac:dyDescent="0.2">
      <c r="A59" s="121">
        <f t="shared" ref="A59:A68" si="14">31+A58</f>
        <v>44624</v>
      </c>
      <c r="B59" s="101">
        <f>Data!BN53</f>
        <v>39</v>
      </c>
      <c r="C59" s="102">
        <f>Data!BO53</f>
        <v>7</v>
      </c>
      <c r="D59" s="102">
        <f>Data!BP53</f>
        <v>0</v>
      </c>
      <c r="E59" s="102">
        <f>Data!BQ53</f>
        <v>6</v>
      </c>
      <c r="F59" s="103">
        <f>Data!BU53</f>
        <v>52</v>
      </c>
      <c r="H59" s="121">
        <f t="shared" ref="H59:H68" si="15">31+H58</f>
        <v>44624</v>
      </c>
      <c r="I59" s="107">
        <f>Data!BR53</f>
        <v>417.72</v>
      </c>
      <c r="J59" s="118">
        <f>Data!BS53</f>
        <v>-448.5</v>
      </c>
      <c r="K59" s="84">
        <f>Data!BT53</f>
        <v>-30.779999999999973</v>
      </c>
      <c r="L59" s="83">
        <f>Data!BM53</f>
        <v>582.75</v>
      </c>
      <c r="M59" s="116">
        <f t="shared" si="13"/>
        <v>1.3950732548118356</v>
      </c>
    </row>
    <row r="60" spans="1:13" x14ac:dyDescent="0.2">
      <c r="A60" s="121">
        <f t="shared" si="14"/>
        <v>44655</v>
      </c>
      <c r="B60" s="101">
        <f>Data!BN54</f>
        <v>40</v>
      </c>
      <c r="C60" s="102">
        <f>Data!BO54</f>
        <v>7</v>
      </c>
      <c r="D60" s="102">
        <f>Data!BP54</f>
        <v>0</v>
      </c>
      <c r="E60" s="102">
        <f>Data!BQ54</f>
        <v>6</v>
      </c>
      <c r="F60" s="103">
        <f>Data!BU54</f>
        <v>53</v>
      </c>
      <c r="H60" s="121">
        <f t="shared" si="15"/>
        <v>44655</v>
      </c>
      <c r="I60" s="107">
        <f>Data!BR54</f>
        <v>424.75</v>
      </c>
      <c r="J60" s="118">
        <f>Data!BS54</f>
        <v>-455</v>
      </c>
      <c r="K60" s="84">
        <f>Data!BT54</f>
        <v>-30.25</v>
      </c>
      <c r="L60" s="83">
        <f>Data!BM54</f>
        <v>60</v>
      </c>
      <c r="M60" s="116">
        <f t="shared" si="13"/>
        <v>0.14125956444967627</v>
      </c>
    </row>
    <row r="61" spans="1:13" x14ac:dyDescent="0.2">
      <c r="A61" s="121">
        <f t="shared" si="14"/>
        <v>44686</v>
      </c>
      <c r="B61" s="101">
        <f>Data!BN55</f>
        <v>41</v>
      </c>
      <c r="C61" s="102">
        <f>Data!BO55</f>
        <v>7</v>
      </c>
      <c r="D61" s="102">
        <f>Data!BP55</f>
        <v>0</v>
      </c>
      <c r="E61" s="102">
        <f>Data!BQ55</f>
        <v>6</v>
      </c>
      <c r="F61" s="103">
        <f>Data!BU55</f>
        <v>54</v>
      </c>
      <c r="H61" s="121">
        <f t="shared" si="15"/>
        <v>44686</v>
      </c>
      <c r="I61" s="107">
        <f>Data!BR55</f>
        <v>431.78000000000003</v>
      </c>
      <c r="J61" s="118">
        <f>Data!BS55</f>
        <v>-461.5</v>
      </c>
      <c r="K61" s="84">
        <f>Data!BT55</f>
        <v>-29.71999999999997</v>
      </c>
      <c r="L61" s="83">
        <f>Data!BM55</f>
        <v>98</v>
      </c>
      <c r="M61" s="116">
        <f t="shared" si="13"/>
        <v>0.22696743712075593</v>
      </c>
    </row>
    <row r="62" spans="1:13" x14ac:dyDescent="0.2">
      <c r="A62" s="121">
        <f t="shared" si="14"/>
        <v>44717</v>
      </c>
      <c r="B62" s="101">
        <f>Data!BN56</f>
        <v>41</v>
      </c>
      <c r="C62" s="102">
        <f>Data!BO56</f>
        <v>7</v>
      </c>
      <c r="D62" s="102">
        <f>Data!BP56</f>
        <v>0</v>
      </c>
      <c r="E62" s="102">
        <f>Data!BQ56</f>
        <v>6</v>
      </c>
      <c r="F62" s="103">
        <f>Data!BU56</f>
        <v>54</v>
      </c>
      <c r="H62" s="121">
        <f t="shared" si="15"/>
        <v>44717</v>
      </c>
      <c r="I62" s="107">
        <f>Data!BR56</f>
        <v>431.78000000000003</v>
      </c>
      <c r="J62" s="118">
        <f>Data!BS56</f>
        <v>-461.5</v>
      </c>
      <c r="K62" s="84">
        <f>Data!BT56</f>
        <v>-29.71999999999997</v>
      </c>
      <c r="L62" s="83">
        <f>Data!BM56</f>
        <v>38</v>
      </c>
      <c r="M62" s="116">
        <f t="shared" si="13"/>
        <v>8.8007781740701271E-2</v>
      </c>
    </row>
    <row r="63" spans="1:13" x14ac:dyDescent="0.2">
      <c r="A63" s="121">
        <f t="shared" si="14"/>
        <v>44748</v>
      </c>
      <c r="B63" s="101"/>
      <c r="C63" s="102"/>
      <c r="D63" s="102"/>
      <c r="E63" s="102"/>
      <c r="F63" s="103"/>
      <c r="H63" s="121">
        <f t="shared" si="15"/>
        <v>44748</v>
      </c>
      <c r="I63" s="107"/>
      <c r="J63" s="118"/>
      <c r="K63" s="84"/>
      <c r="L63" s="83"/>
      <c r="M63" s="116"/>
    </row>
    <row r="64" spans="1:13" x14ac:dyDescent="0.2">
      <c r="A64" s="121">
        <f t="shared" si="14"/>
        <v>44779</v>
      </c>
      <c r="B64" s="101"/>
      <c r="C64" s="102"/>
      <c r="D64" s="102"/>
      <c r="E64" s="102"/>
      <c r="F64" s="103"/>
      <c r="H64" s="121">
        <f t="shared" si="15"/>
        <v>44779</v>
      </c>
      <c r="I64" s="107"/>
      <c r="J64" s="118"/>
      <c r="K64" s="84"/>
      <c r="L64" s="83"/>
      <c r="M64" s="116"/>
    </row>
    <row r="65" spans="1:13" x14ac:dyDescent="0.2">
      <c r="A65" s="121">
        <f t="shared" si="14"/>
        <v>44810</v>
      </c>
      <c r="B65" s="101"/>
      <c r="C65" s="102"/>
      <c r="D65" s="102"/>
      <c r="E65" s="102"/>
      <c r="F65" s="103"/>
      <c r="H65" s="121">
        <f t="shared" si="15"/>
        <v>44810</v>
      </c>
      <c r="I65" s="107"/>
      <c r="J65" s="118"/>
      <c r="K65" s="84"/>
      <c r="L65" s="83"/>
      <c r="M65" s="116"/>
    </row>
    <row r="66" spans="1:13" x14ac:dyDescent="0.2">
      <c r="A66" s="121">
        <f t="shared" si="14"/>
        <v>44841</v>
      </c>
      <c r="B66" s="101"/>
      <c r="C66" s="102"/>
      <c r="D66" s="102"/>
      <c r="E66" s="102"/>
      <c r="F66" s="103"/>
      <c r="H66" s="121">
        <f t="shared" si="15"/>
        <v>44841</v>
      </c>
      <c r="I66" s="107"/>
      <c r="J66" s="118"/>
      <c r="K66" s="84"/>
      <c r="L66" s="83"/>
      <c r="M66" s="116"/>
    </row>
    <row r="67" spans="1:13" x14ac:dyDescent="0.2">
      <c r="A67" s="121">
        <f t="shared" si="14"/>
        <v>44872</v>
      </c>
      <c r="B67" s="101"/>
      <c r="C67" s="102"/>
      <c r="D67" s="102"/>
      <c r="E67" s="102"/>
      <c r="F67" s="103"/>
      <c r="H67" s="121">
        <f t="shared" si="15"/>
        <v>44872</v>
      </c>
      <c r="I67" s="107"/>
      <c r="J67" s="118"/>
      <c r="K67" s="84"/>
      <c r="L67" s="83"/>
      <c r="M67" s="116"/>
    </row>
    <row r="68" spans="1:13" ht="13.5" thickBot="1" x14ac:dyDescent="0.25">
      <c r="A68" s="121">
        <f t="shared" si="14"/>
        <v>44903</v>
      </c>
      <c r="B68" s="137"/>
      <c r="C68" s="138"/>
      <c r="D68" s="138"/>
      <c r="E68" s="138"/>
      <c r="F68" s="139"/>
      <c r="H68" s="121">
        <f t="shared" si="15"/>
        <v>44903</v>
      </c>
      <c r="I68" s="140"/>
      <c r="J68" s="163"/>
      <c r="K68" s="141"/>
      <c r="L68" s="147"/>
      <c r="M68" s="162"/>
    </row>
    <row r="69" spans="1:13" s="131" customFormat="1" x14ac:dyDescent="0.2">
      <c r="A69" s="125" t="s">
        <v>90</v>
      </c>
      <c r="B69" s="126">
        <f>AVERAGE(B57:B68)</f>
        <v>39.833333333333336</v>
      </c>
      <c r="C69" s="126">
        <f>AVERAGE(C57:C68)</f>
        <v>7</v>
      </c>
      <c r="D69" s="126">
        <f>AVERAGE(D57:D68)</f>
        <v>0</v>
      </c>
      <c r="E69" s="126">
        <f>AVERAGE(E57:E68)</f>
        <v>6</v>
      </c>
      <c r="F69" s="126">
        <f>AVERAGE(F57:F68)</f>
        <v>52.833333333333336</v>
      </c>
      <c r="H69" s="125" t="s">
        <v>91</v>
      </c>
      <c r="I69" s="128">
        <f>SUM(I57:I68)</f>
        <v>2541.4700000000003</v>
      </c>
      <c r="J69" s="134">
        <f>AVERAGE(J57:J68)</f>
        <v>-453.91666666666669</v>
      </c>
      <c r="K69" s="128">
        <f>SUM(K57:K68)</f>
        <v>-182.02999999999986</v>
      </c>
      <c r="L69" s="132">
        <f>SUM(L57:L68)</f>
        <v>1282</v>
      </c>
      <c r="M69" s="133">
        <f>L69/I69</f>
        <v>0.5044324741193088</v>
      </c>
    </row>
    <row r="71" spans="1:13" ht="15.75" x14ac:dyDescent="0.25">
      <c r="A71" s="119" t="s">
        <v>119</v>
      </c>
      <c r="H71" s="135" t="s">
        <v>120</v>
      </c>
    </row>
    <row r="73" spans="1:13" s="131" customFormat="1" ht="26.25" thickBot="1" x14ac:dyDescent="0.25">
      <c r="A73" s="122"/>
      <c r="B73" s="123" t="s">
        <v>70</v>
      </c>
      <c r="C73" s="123" t="s">
        <v>31</v>
      </c>
      <c r="D73" s="123" t="s">
        <v>32</v>
      </c>
      <c r="E73" s="123" t="s">
        <v>102</v>
      </c>
      <c r="F73" s="127"/>
      <c r="G73" s="127"/>
      <c r="H73" s="122"/>
      <c r="I73" s="123" t="s">
        <v>106</v>
      </c>
      <c r="J73" s="123" t="s">
        <v>108</v>
      </c>
      <c r="K73" s="123" t="s">
        <v>107</v>
      </c>
      <c r="L73" s="123" t="s">
        <v>109</v>
      </c>
      <c r="M73" s="136" t="s">
        <v>110</v>
      </c>
    </row>
    <row r="74" spans="1:13" x14ac:dyDescent="0.2">
      <c r="A74" s="121">
        <f>A57</f>
        <v>44562</v>
      </c>
      <c r="B74" s="104">
        <f>Data!CD51</f>
        <v>491.11</v>
      </c>
      <c r="C74" s="117">
        <f>Data!CE51</f>
        <v>1036.8399999999999</v>
      </c>
      <c r="D74" s="105">
        <f>Data!CF51</f>
        <v>1220.29</v>
      </c>
      <c r="E74" s="106">
        <f t="shared" ref="E74:E79" si="16">B74+C74+D74</f>
        <v>2748.24</v>
      </c>
      <c r="H74" s="121">
        <f>H57</f>
        <v>44562</v>
      </c>
      <c r="I74" s="104">
        <f t="shared" ref="I74:I79" si="17">O4</f>
        <v>46237.91</v>
      </c>
      <c r="J74" s="117">
        <f t="shared" ref="J74:J79" si="18">K40</f>
        <v>2435.5466666666666</v>
      </c>
      <c r="K74" s="105">
        <f t="shared" ref="K74:K79" si="19">K57</f>
        <v>-30.779999999999973</v>
      </c>
      <c r="L74" s="105">
        <f t="shared" ref="L74:L79" si="20">E74</f>
        <v>2748.24</v>
      </c>
      <c r="M74" s="106">
        <f t="shared" ref="M74:M79" si="21">SUM(I74:L74)</f>
        <v>51390.916666666672</v>
      </c>
    </row>
    <row r="75" spans="1:13" x14ac:dyDescent="0.2">
      <c r="A75" s="121">
        <f>31+A74</f>
        <v>44593</v>
      </c>
      <c r="B75" s="107">
        <f>Data!CD52</f>
        <v>491.11</v>
      </c>
      <c r="C75" s="118">
        <f>Data!CE52</f>
        <v>1036.94</v>
      </c>
      <c r="D75" s="84">
        <f>Data!CF52</f>
        <v>1220.29</v>
      </c>
      <c r="E75" s="108">
        <f t="shared" si="16"/>
        <v>2748.34</v>
      </c>
      <c r="H75" s="121">
        <f>31+H74</f>
        <v>44593</v>
      </c>
      <c r="I75" s="107">
        <f t="shared" si="17"/>
        <v>46237.91</v>
      </c>
      <c r="J75" s="118">
        <f t="shared" si="18"/>
        <v>2435.5466666666666</v>
      </c>
      <c r="K75" s="84">
        <f t="shared" si="19"/>
        <v>-30.779999999999973</v>
      </c>
      <c r="L75" s="84">
        <f t="shared" si="20"/>
        <v>2748.34</v>
      </c>
      <c r="M75" s="108">
        <f t="shared" si="21"/>
        <v>51391.016666666677</v>
      </c>
    </row>
    <row r="76" spans="1:13" x14ac:dyDescent="0.2">
      <c r="A76" s="121">
        <f t="shared" ref="A76:A85" si="22">31+A75</f>
        <v>44624</v>
      </c>
      <c r="B76" s="107">
        <f>Data!CD53</f>
        <v>499.81</v>
      </c>
      <c r="C76" s="118">
        <f>Data!CE53</f>
        <v>1052.28</v>
      </c>
      <c r="D76" s="84">
        <f>Data!CF53</f>
        <v>1241.67</v>
      </c>
      <c r="E76" s="108">
        <f t="shared" si="16"/>
        <v>2793.76</v>
      </c>
      <c r="H76" s="121">
        <f t="shared" ref="H76:H85" si="23">31+H75</f>
        <v>44624</v>
      </c>
      <c r="I76" s="107">
        <f t="shared" si="17"/>
        <v>46834.420000000006</v>
      </c>
      <c r="J76" s="118">
        <f t="shared" si="18"/>
        <v>2463.4400000000005</v>
      </c>
      <c r="K76" s="84">
        <f t="shared" si="19"/>
        <v>-30.779999999999973</v>
      </c>
      <c r="L76" s="84">
        <f t="shared" si="20"/>
        <v>2793.76</v>
      </c>
      <c r="M76" s="108">
        <f t="shared" si="21"/>
        <v>52060.840000000011</v>
      </c>
    </row>
    <row r="77" spans="1:13" x14ac:dyDescent="0.2">
      <c r="A77" s="121">
        <f t="shared" si="22"/>
        <v>44655</v>
      </c>
      <c r="B77" s="107">
        <f>Data!CD54</f>
        <v>499.81</v>
      </c>
      <c r="C77" s="118">
        <f>Data!CE54</f>
        <v>1052.28</v>
      </c>
      <c r="D77" s="84">
        <f>Data!CF54</f>
        <v>1241.67</v>
      </c>
      <c r="E77" s="108">
        <f t="shared" si="16"/>
        <v>2793.76</v>
      </c>
      <c r="H77" s="121">
        <f t="shared" si="23"/>
        <v>44655</v>
      </c>
      <c r="I77" s="107">
        <f t="shared" si="17"/>
        <v>47430.93</v>
      </c>
      <c r="J77" s="118">
        <f t="shared" si="18"/>
        <v>2491.3333333333335</v>
      </c>
      <c r="K77" s="84">
        <f t="shared" si="19"/>
        <v>-30.25</v>
      </c>
      <c r="L77" s="84">
        <f t="shared" si="20"/>
        <v>2793.76</v>
      </c>
      <c r="M77" s="108">
        <f t="shared" si="21"/>
        <v>52685.773333333338</v>
      </c>
    </row>
    <row r="78" spans="1:13" x14ac:dyDescent="0.2">
      <c r="A78" s="121">
        <f t="shared" si="22"/>
        <v>44686</v>
      </c>
      <c r="B78" s="107">
        <f>Data!CD55</f>
        <v>560.71</v>
      </c>
      <c r="C78" s="118">
        <f>Data!CE55</f>
        <v>1185.32</v>
      </c>
      <c r="D78" s="84">
        <f>Data!CF55</f>
        <v>1412.55</v>
      </c>
      <c r="E78" s="108">
        <f t="shared" si="16"/>
        <v>3158.58</v>
      </c>
      <c r="H78" s="121">
        <f t="shared" si="23"/>
        <v>44686</v>
      </c>
      <c r="I78" s="107">
        <f t="shared" si="17"/>
        <v>47430.93</v>
      </c>
      <c r="J78" s="118">
        <f t="shared" si="18"/>
        <v>2491.3333333333335</v>
      </c>
      <c r="K78" s="84">
        <f t="shared" si="19"/>
        <v>-29.71999999999997</v>
      </c>
      <c r="L78" s="84">
        <f t="shared" si="20"/>
        <v>3158.58</v>
      </c>
      <c r="M78" s="108">
        <f t="shared" si="21"/>
        <v>53051.123333333337</v>
      </c>
    </row>
    <row r="79" spans="1:13" x14ac:dyDescent="0.2">
      <c r="A79" s="121">
        <f t="shared" si="22"/>
        <v>44717</v>
      </c>
      <c r="B79" s="107">
        <f>Data!CD56</f>
        <v>552.01</v>
      </c>
      <c r="C79" s="118">
        <f>Data!CE56</f>
        <v>1168.44</v>
      </c>
      <c r="D79" s="84">
        <f>Data!CF56</f>
        <v>1389.19</v>
      </c>
      <c r="E79" s="108">
        <f t="shared" si="16"/>
        <v>3109.6400000000003</v>
      </c>
      <c r="H79" s="121">
        <f t="shared" si="23"/>
        <v>44717</v>
      </c>
      <c r="I79" s="107">
        <f t="shared" si="17"/>
        <v>47430.93</v>
      </c>
      <c r="J79" s="118">
        <f t="shared" si="18"/>
        <v>2491.3333333333335</v>
      </c>
      <c r="K79" s="84">
        <f t="shared" si="19"/>
        <v>-29.71999999999997</v>
      </c>
      <c r="L79" s="84">
        <f t="shared" si="20"/>
        <v>3109.6400000000003</v>
      </c>
      <c r="M79" s="108">
        <f t="shared" si="21"/>
        <v>53002.183333333334</v>
      </c>
    </row>
    <row r="80" spans="1:13" x14ac:dyDescent="0.2">
      <c r="A80" s="121">
        <f t="shared" si="22"/>
        <v>44748</v>
      </c>
      <c r="B80" s="107"/>
      <c r="C80" s="118"/>
      <c r="D80" s="84"/>
      <c r="E80" s="108"/>
      <c r="H80" s="121">
        <f t="shared" si="23"/>
        <v>44748</v>
      </c>
      <c r="I80" s="107"/>
      <c r="J80" s="118"/>
      <c r="K80" s="84"/>
      <c r="L80" s="84"/>
      <c r="M80" s="108"/>
    </row>
    <row r="81" spans="1:13" x14ac:dyDescent="0.2">
      <c r="A81" s="121">
        <f t="shared" si="22"/>
        <v>44779</v>
      </c>
      <c r="B81" s="107"/>
      <c r="C81" s="118"/>
      <c r="D81" s="84"/>
      <c r="E81" s="108"/>
      <c r="H81" s="121">
        <f t="shared" si="23"/>
        <v>44779</v>
      </c>
      <c r="I81" s="107"/>
      <c r="J81" s="118"/>
      <c r="K81" s="84"/>
      <c r="L81" s="84"/>
      <c r="M81" s="108"/>
    </row>
    <row r="82" spans="1:13" x14ac:dyDescent="0.2">
      <c r="A82" s="121">
        <f t="shared" si="22"/>
        <v>44810</v>
      </c>
      <c r="B82" s="107"/>
      <c r="C82" s="118"/>
      <c r="D82" s="84"/>
      <c r="E82" s="108"/>
      <c r="H82" s="121">
        <f t="shared" si="23"/>
        <v>44810</v>
      </c>
      <c r="I82" s="107"/>
      <c r="J82" s="118"/>
      <c r="K82" s="84"/>
      <c r="L82" s="84"/>
      <c r="M82" s="108"/>
    </row>
    <row r="83" spans="1:13" x14ac:dyDescent="0.2">
      <c r="A83" s="121">
        <f t="shared" si="22"/>
        <v>44841</v>
      </c>
      <c r="B83" s="107"/>
      <c r="C83" s="118"/>
      <c r="D83" s="84"/>
      <c r="E83" s="108"/>
      <c r="H83" s="121">
        <f t="shared" si="23"/>
        <v>44841</v>
      </c>
      <c r="I83" s="107"/>
      <c r="J83" s="118"/>
      <c r="K83" s="84"/>
      <c r="L83" s="84"/>
      <c r="M83" s="108"/>
    </row>
    <row r="84" spans="1:13" x14ac:dyDescent="0.2">
      <c r="A84" s="121">
        <f t="shared" si="22"/>
        <v>44872</v>
      </c>
      <c r="B84" s="107"/>
      <c r="C84" s="118"/>
      <c r="D84" s="84"/>
      <c r="E84" s="108"/>
      <c r="H84" s="121">
        <f t="shared" si="23"/>
        <v>44872</v>
      </c>
      <c r="I84" s="107"/>
      <c r="J84" s="118"/>
      <c r="K84" s="84"/>
      <c r="L84" s="84"/>
      <c r="M84" s="108"/>
    </row>
    <row r="85" spans="1:13" ht="13.5" thickBot="1" x14ac:dyDescent="0.25">
      <c r="A85" s="121">
        <f t="shared" si="22"/>
        <v>44903</v>
      </c>
      <c r="B85" s="140"/>
      <c r="C85" s="163"/>
      <c r="D85" s="141"/>
      <c r="E85" s="142"/>
      <c r="H85" s="121">
        <f t="shared" si="23"/>
        <v>44903</v>
      </c>
      <c r="I85" s="140"/>
      <c r="J85" s="163"/>
      <c r="K85" s="141"/>
      <c r="L85" s="141"/>
      <c r="M85" s="142"/>
    </row>
    <row r="86" spans="1:13" s="131" customFormat="1" x14ac:dyDescent="0.2">
      <c r="A86" s="125" t="s">
        <v>91</v>
      </c>
      <c r="B86" s="128">
        <f>SUM(B74:B85)</f>
        <v>3094.5600000000004</v>
      </c>
      <c r="C86" s="134">
        <f>AVERAGE(C74:C85)</f>
        <v>1088.6833333333332</v>
      </c>
      <c r="D86" s="128">
        <f>SUM(D74:D85)</f>
        <v>7725.66</v>
      </c>
      <c r="E86" s="128">
        <f>SUM(E74:E85)</f>
        <v>17352.32</v>
      </c>
      <c r="F86" s="127"/>
      <c r="G86" s="127"/>
      <c r="H86" s="125" t="s">
        <v>91</v>
      </c>
      <c r="I86" s="128">
        <f>SUM(I74:I85)</f>
        <v>281603.03000000003</v>
      </c>
      <c r="J86" s="134">
        <f>AVERAGE(J74:J85)</f>
        <v>2468.088888888889</v>
      </c>
      <c r="K86" s="128">
        <f>SUM(K74:K85)</f>
        <v>-182.02999999999986</v>
      </c>
      <c r="L86" s="128">
        <f>SUM(L74:L85)</f>
        <v>17352.32</v>
      </c>
      <c r="M86" s="128">
        <f>SUM(M74:M85)</f>
        <v>313581.85333333339</v>
      </c>
    </row>
  </sheetData>
  <mergeCells count="3">
    <mergeCell ref="M31:O32"/>
    <mergeCell ref="L34:L35"/>
    <mergeCell ref="M34:N35"/>
  </mergeCells>
  <conditionalFormatting sqref="M40:M52">
    <cfRule type="cellIs" dxfId="7" priority="2" stopIfTrue="1" operator="greaterThan">
      <formula>1</formula>
    </cfRule>
  </conditionalFormatting>
  <conditionalFormatting sqref="M57:M69">
    <cfRule type="cellIs" dxfId="6" priority="1" stopIfTrue="1" operator="greaterThan">
      <formula>1</formula>
    </cfRule>
  </conditionalFormatting>
  <pageMargins left="0.7" right="0.7" top="1" bottom="0.75" header="0.3" footer="0.3"/>
  <pageSetup scale="55" fitToHeight="0" orientation="landscape" r:id="rId1"/>
  <headerFooter>
    <oddHeader>&amp;L&amp;"Arial Narrow,Bold"&amp;14&amp;G&amp;C&amp;"Arial,Bold"&amp;12VERMONT SPORTSCAR
MONTHLY FINANCIAL REPORT&amp;"Arial,Regular"&amp;10
&amp;"Arial,Bold"JANUARY 1, 2022- DECEMBER 31, 2022&amp;R&amp;G</oddHeader>
    <oddFooter>&amp;R&amp;P</oddFooter>
  </headerFooter>
  <rowBreaks count="1" manualBreakCount="1">
    <brk id="52" max="14" man="1"/>
  </rowBreaks>
  <ignoredErrors>
    <ignoredError sqref="J86 C86 J69 J52" formula="1"/>
    <ignoredError sqref="I4:I7" formulaRange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showGridLines="0" zoomScale="110" zoomScaleNormal="110" workbookViewId="0">
      <selection activeCell="D28" sqref="D28"/>
    </sheetView>
  </sheetViews>
  <sheetFormatPr defaultRowHeight="12.75" x14ac:dyDescent="0.2"/>
  <cols>
    <col min="1" max="1" width="7.7109375" style="121" customWidth="1"/>
    <col min="2" max="6" width="16.5703125" style="82" customWidth="1"/>
    <col min="7" max="7" width="7.85546875" style="82" customWidth="1"/>
    <col min="8" max="8" width="7.5703125" style="120" customWidth="1"/>
    <col min="9" max="9" width="16.5703125" style="120" customWidth="1"/>
    <col min="10" max="10" width="16.28515625" style="120" customWidth="1"/>
    <col min="11" max="11" width="15.85546875" style="120" customWidth="1"/>
    <col min="12" max="19" width="16.5703125" style="120" customWidth="1"/>
    <col min="20" max="16384" width="9.140625" style="120"/>
  </cols>
  <sheetData>
    <row r="1" spans="1:15" ht="15.75" x14ac:dyDescent="0.25">
      <c r="A1" s="119" t="s">
        <v>146</v>
      </c>
      <c r="H1" s="119" t="s">
        <v>147</v>
      </c>
      <c r="I1" s="82"/>
      <c r="J1" s="82"/>
      <c r="K1" s="82"/>
      <c r="L1" s="82"/>
      <c r="M1" s="82"/>
      <c r="N1" s="82"/>
    </row>
    <row r="2" spans="1:15" x14ac:dyDescent="0.2">
      <c r="H2" s="121"/>
      <c r="I2" s="82"/>
      <c r="J2" s="82"/>
      <c r="K2" s="82"/>
      <c r="L2" s="82"/>
      <c r="M2" s="82"/>
      <c r="N2" s="82"/>
    </row>
    <row r="3" spans="1:15" s="124" customFormat="1" ht="26.25" thickBot="1" x14ac:dyDescent="0.25">
      <c r="A3" s="122"/>
      <c r="B3" s="123" t="s">
        <v>80</v>
      </c>
      <c r="C3" s="123" t="s">
        <v>81</v>
      </c>
      <c r="D3" s="123" t="s">
        <v>82</v>
      </c>
      <c r="E3" s="123" t="s">
        <v>83</v>
      </c>
      <c r="F3" s="123" t="s">
        <v>84</v>
      </c>
      <c r="G3" s="123"/>
      <c r="H3" s="122"/>
      <c r="I3" s="123" t="s">
        <v>87</v>
      </c>
      <c r="J3" s="123" t="s">
        <v>113</v>
      </c>
      <c r="K3" s="123" t="s">
        <v>114</v>
      </c>
      <c r="L3" s="123" t="s">
        <v>122</v>
      </c>
      <c r="M3" s="123" t="s">
        <v>86</v>
      </c>
      <c r="N3" s="123" t="s">
        <v>88</v>
      </c>
      <c r="O3" s="123" t="s">
        <v>89</v>
      </c>
    </row>
    <row r="4" spans="1:15" x14ac:dyDescent="0.2">
      <c r="A4" s="121">
        <v>44197</v>
      </c>
      <c r="B4" s="111">
        <f>Data!V39</f>
        <v>32</v>
      </c>
      <c r="C4" s="112">
        <f>Data!W39</f>
        <v>3</v>
      </c>
      <c r="D4" s="112">
        <f>Data!X39</f>
        <v>1</v>
      </c>
      <c r="E4" s="112">
        <f>Data!Y39</f>
        <v>11</v>
      </c>
      <c r="F4" s="113">
        <f>Data!Z39</f>
        <v>47</v>
      </c>
      <c r="H4" s="121">
        <v>44197</v>
      </c>
      <c r="I4" s="104">
        <f>SUMPRODUCT(Data!F39:I39,Data!V39:Y39)</f>
        <v>1904.42</v>
      </c>
      <c r="J4" s="105">
        <f>SUMPRODUCT(Data!J39:M39,Data!V39:Y39)</f>
        <v>11039.67</v>
      </c>
      <c r="K4" s="105">
        <f>SUMPRODUCT(Data!N39:Q39,Data!V39:Y39)</f>
        <v>4222.83</v>
      </c>
      <c r="L4" s="105">
        <f>SUMPRODUCT(Data!R39:U39,Data!V39:Y39)</f>
        <v>25199.89</v>
      </c>
      <c r="M4" s="105">
        <f t="shared" ref="M4:M9" si="0">SUM(I4:L4)</f>
        <v>42366.81</v>
      </c>
      <c r="N4" s="105">
        <f>Data!AH39</f>
        <v>-4758.13</v>
      </c>
      <c r="O4" s="106">
        <f t="shared" ref="O4:O9" si="1">M4+N4</f>
        <v>37608.68</v>
      </c>
    </row>
    <row r="5" spans="1:15" x14ac:dyDescent="0.2">
      <c r="A5" s="121">
        <f>31+A4</f>
        <v>44228</v>
      </c>
      <c r="B5" s="101">
        <f>Data!V40</f>
        <v>34</v>
      </c>
      <c r="C5" s="102">
        <f>Data!W40</f>
        <v>3</v>
      </c>
      <c r="D5" s="102">
        <f>Data!X40</f>
        <v>1</v>
      </c>
      <c r="E5" s="102">
        <f>Data!Y40</f>
        <v>11</v>
      </c>
      <c r="F5" s="103">
        <f>Data!Z40</f>
        <v>49</v>
      </c>
      <c r="H5" s="121">
        <f>31+H4</f>
        <v>44228</v>
      </c>
      <c r="I5" s="107">
        <f>SUMPRODUCT(Data!F40:I40,Data!V40:Y40)</f>
        <v>1956.3599999999997</v>
      </c>
      <c r="J5" s="84">
        <f>SUMPRODUCT(Data!J40:M40,Data!V40:Y40)</f>
        <v>11341.29</v>
      </c>
      <c r="K5" s="84">
        <f>SUMPRODUCT(Data!N40:Q40,Data!V40:Y40)</f>
        <v>4334.1099999999997</v>
      </c>
      <c r="L5" s="84">
        <f>SUMPRODUCT(Data!R40:U40,Data!V40:Y40)</f>
        <v>25888.39</v>
      </c>
      <c r="M5" s="84">
        <f t="shared" si="0"/>
        <v>43520.15</v>
      </c>
      <c r="N5" s="84">
        <f>Data!AH40</f>
        <v>-4888.13</v>
      </c>
      <c r="O5" s="108">
        <f t="shared" si="1"/>
        <v>38632.020000000004</v>
      </c>
    </row>
    <row r="6" spans="1:15" ht="13.5" customHeight="1" x14ac:dyDescent="0.2">
      <c r="A6" s="121">
        <f t="shared" ref="A6:A15" si="2">31+A5</f>
        <v>44259</v>
      </c>
      <c r="B6" s="101">
        <f>Data!V41</f>
        <v>34</v>
      </c>
      <c r="C6" s="102">
        <f>Data!W41</f>
        <v>3</v>
      </c>
      <c r="D6" s="102">
        <f>Data!X41</f>
        <v>2</v>
      </c>
      <c r="E6" s="102">
        <f>Data!Y41</f>
        <v>11</v>
      </c>
      <c r="F6" s="103">
        <f>Data!Z41</f>
        <v>50</v>
      </c>
      <c r="H6" s="121">
        <f t="shared" ref="H6:H15" si="3">31+H5</f>
        <v>44259</v>
      </c>
      <c r="I6" s="107">
        <f>SUMPRODUCT(Data!F41:I41,Data!V41:Y41)</f>
        <v>2005.73</v>
      </c>
      <c r="J6" s="84">
        <f>SUMPRODUCT(Data!J41:M41,Data!V41:Y41)</f>
        <v>11628.130000000001</v>
      </c>
      <c r="K6" s="84">
        <f>SUMPRODUCT(Data!N41:Q41,Data!V41:Y41)</f>
        <v>4439.9299999999994</v>
      </c>
      <c r="L6" s="84">
        <f>SUMPRODUCT(Data!R41:U41,Data!V41:Y41)</f>
        <v>26543.16</v>
      </c>
      <c r="M6" s="84">
        <f t="shared" si="0"/>
        <v>44616.95</v>
      </c>
      <c r="N6" s="84">
        <f>Data!AH41</f>
        <v>-5011.76</v>
      </c>
      <c r="O6" s="108">
        <f t="shared" si="1"/>
        <v>39605.189999999995</v>
      </c>
    </row>
    <row r="7" spans="1:15" x14ac:dyDescent="0.2">
      <c r="A7" s="121">
        <f t="shared" si="2"/>
        <v>44290</v>
      </c>
      <c r="B7" s="101">
        <f>Data!V42</f>
        <v>34</v>
      </c>
      <c r="C7" s="102">
        <f>Data!W42</f>
        <v>3</v>
      </c>
      <c r="D7" s="102">
        <f>Data!X42</f>
        <v>2</v>
      </c>
      <c r="E7" s="102">
        <f>Data!Y42</f>
        <v>11</v>
      </c>
      <c r="F7" s="103">
        <f>Data!Z42</f>
        <v>50</v>
      </c>
      <c r="H7" s="121">
        <f t="shared" si="3"/>
        <v>44290</v>
      </c>
      <c r="I7" s="107">
        <f>SUMPRODUCT(Data!F42:I42,Data!V42:Y42)</f>
        <v>2005.73</v>
      </c>
      <c r="J7" s="84">
        <f>SUMPRODUCT(Data!J42:M42,Data!V42:Y42)</f>
        <v>11628.130000000001</v>
      </c>
      <c r="K7" s="84">
        <f>SUMPRODUCT(Data!N42:Q42,Data!V42:Y42)</f>
        <v>4439.9299999999994</v>
      </c>
      <c r="L7" s="84">
        <f>SUMPRODUCT(Data!R42:U42,Data!V42:Y42)</f>
        <v>26543.16</v>
      </c>
      <c r="M7" s="84">
        <f t="shared" si="0"/>
        <v>44616.95</v>
      </c>
      <c r="N7" s="84">
        <f>Data!AH42</f>
        <v>-5011.76</v>
      </c>
      <c r="O7" s="108">
        <f t="shared" si="1"/>
        <v>39605.189999999995</v>
      </c>
    </row>
    <row r="8" spans="1:15" x14ac:dyDescent="0.2">
      <c r="A8" s="121">
        <f t="shared" si="2"/>
        <v>44321</v>
      </c>
      <c r="B8" s="101">
        <f>Data!V43</f>
        <v>36</v>
      </c>
      <c r="C8" s="102">
        <f>Data!W43</f>
        <v>4</v>
      </c>
      <c r="D8" s="102">
        <f>Data!X43</f>
        <v>2</v>
      </c>
      <c r="E8" s="102">
        <f>Data!Y43</f>
        <v>11</v>
      </c>
      <c r="F8" s="103">
        <f>Data!Z43</f>
        <v>53</v>
      </c>
      <c r="H8" s="121">
        <f t="shared" si="3"/>
        <v>44321</v>
      </c>
      <c r="I8" s="107">
        <f>SUMPRODUCT(Data!F43:I43,Data!V43:Y43)</f>
        <v>2112.1999999999998</v>
      </c>
      <c r="J8" s="84">
        <f>SUMPRODUCT(Data!J43:M43,Data!V43:Y43)</f>
        <v>12246.44</v>
      </c>
      <c r="K8" s="84">
        <f>SUMPRODUCT(Data!N43:Q43,Data!V43:Y43)</f>
        <v>4718.05</v>
      </c>
      <c r="L8" s="84">
        <f>SUMPRODUCT(Data!R43:U43,Data!V43:Y43)</f>
        <v>27954.58</v>
      </c>
      <c r="M8" s="84">
        <f t="shared" si="0"/>
        <v>47031.270000000004</v>
      </c>
      <c r="N8" s="84">
        <f>Data!AH43</f>
        <v>-5278.26</v>
      </c>
      <c r="O8" s="108">
        <f t="shared" si="1"/>
        <v>41753.01</v>
      </c>
    </row>
    <row r="9" spans="1:15" x14ac:dyDescent="0.2">
      <c r="A9" s="121">
        <f t="shared" si="2"/>
        <v>44352</v>
      </c>
      <c r="B9" s="101">
        <f>Data!V44</f>
        <v>39</v>
      </c>
      <c r="C9" s="102">
        <f>Data!W44</f>
        <v>4</v>
      </c>
      <c r="D9" s="102">
        <f>Data!X44</f>
        <v>2</v>
      </c>
      <c r="E9" s="102">
        <f>Data!Y44</f>
        <v>11</v>
      </c>
      <c r="F9" s="103">
        <f>Data!Z44</f>
        <v>56</v>
      </c>
      <c r="H9" s="121">
        <f t="shared" si="3"/>
        <v>44352</v>
      </c>
      <c r="I9" s="107">
        <f>SUMPRODUCT(Data!F44:I44,Data!V44:Y44)</f>
        <v>2190.1099999999997</v>
      </c>
      <c r="J9" s="84">
        <f>SUMPRODUCT(Data!J44:M44,Data!V44:Y44)</f>
        <v>12698.87</v>
      </c>
      <c r="K9" s="84">
        <f>SUMPRODUCT(Data!N44:Q44,Data!V44:Y44)</f>
        <v>4884.97</v>
      </c>
      <c r="L9" s="84">
        <f>SUMPRODUCT(Data!R44:U44,Data!V44:Y44)</f>
        <v>28987.33</v>
      </c>
      <c r="M9" s="84">
        <f t="shared" si="0"/>
        <v>48761.279999999999</v>
      </c>
      <c r="N9" s="84">
        <f>Data!AH44</f>
        <v>-5473.26</v>
      </c>
      <c r="O9" s="108">
        <f t="shared" si="1"/>
        <v>43288.02</v>
      </c>
    </row>
    <row r="10" spans="1:15" x14ac:dyDescent="0.2">
      <c r="A10" s="121">
        <f t="shared" si="2"/>
        <v>44383</v>
      </c>
      <c r="B10" s="101">
        <f>Data!V45</f>
        <v>40</v>
      </c>
      <c r="C10" s="102">
        <f>Data!W45</f>
        <v>4</v>
      </c>
      <c r="D10" s="102">
        <f>Data!X45</f>
        <v>2</v>
      </c>
      <c r="E10" s="102">
        <f>Data!Y45</f>
        <v>11</v>
      </c>
      <c r="F10" s="103">
        <f>Data!Z45</f>
        <v>57</v>
      </c>
      <c r="H10" s="121">
        <f t="shared" si="3"/>
        <v>44383</v>
      </c>
      <c r="I10" s="107">
        <f>SUMPRODUCT(Data!F45:I45,Data!V45:Y45)</f>
        <v>2216.08</v>
      </c>
      <c r="J10" s="84">
        <f>SUMPRODUCT(Data!J45:M45,Data!V45:Y45)</f>
        <v>12849.68</v>
      </c>
      <c r="K10" s="84">
        <f>SUMPRODUCT(Data!N45:Q45,Data!V45:Y45)</f>
        <v>4940.6099999999997</v>
      </c>
      <c r="L10" s="84">
        <f>SUMPRODUCT(Data!R45:U45,Data!V45:Y45)</f>
        <v>29331.58</v>
      </c>
      <c r="M10" s="84">
        <f t="shared" ref="M10:M15" si="4">SUM(I10:L10)</f>
        <v>49337.95</v>
      </c>
      <c r="N10" s="84">
        <f>Data!AH45</f>
        <v>-5538.26</v>
      </c>
      <c r="O10" s="108">
        <f t="shared" ref="O10:O15" si="5">M10+N10</f>
        <v>43799.689999999995</v>
      </c>
    </row>
    <row r="11" spans="1:15" x14ac:dyDescent="0.2">
      <c r="A11" s="121">
        <f t="shared" si="2"/>
        <v>44414</v>
      </c>
      <c r="B11" s="101">
        <f>Data!V46</f>
        <v>38</v>
      </c>
      <c r="C11" s="102">
        <f>Data!W46</f>
        <v>5</v>
      </c>
      <c r="D11" s="102">
        <f>Data!X46</f>
        <v>3</v>
      </c>
      <c r="E11" s="102">
        <f>Data!Y46</f>
        <v>9</v>
      </c>
      <c r="F11" s="103">
        <f>Data!Z46</f>
        <v>55</v>
      </c>
      <c r="H11" s="121">
        <f t="shared" si="3"/>
        <v>44414</v>
      </c>
      <c r="I11" s="107">
        <f>SUMPRODUCT(Data!F46:I46,Data!V46:Y46)</f>
        <v>2111.5999999999995</v>
      </c>
      <c r="J11" s="84">
        <f>SUMPRODUCT(Data!J46:M46,Data!V46:Y46)</f>
        <v>12246.71</v>
      </c>
      <c r="K11" s="84">
        <f>SUMPRODUCT(Data!N46:Q46,Data!V46:Y46)</f>
        <v>4768.17</v>
      </c>
      <c r="L11" s="84">
        <f>SUMPRODUCT(Data!R46:U46,Data!V46:Y46)</f>
        <v>27955.25</v>
      </c>
      <c r="M11" s="84">
        <f t="shared" si="4"/>
        <v>47081.729999999996</v>
      </c>
      <c r="N11" s="84">
        <f>Data!AH46</f>
        <v>-5278.3899999999994</v>
      </c>
      <c r="O11" s="108">
        <f t="shared" si="5"/>
        <v>41803.339999999997</v>
      </c>
    </row>
    <row r="12" spans="1:15" x14ac:dyDescent="0.2">
      <c r="A12" s="121">
        <f t="shared" si="2"/>
        <v>44445</v>
      </c>
      <c r="B12" s="101">
        <f>Data!V47</f>
        <v>37</v>
      </c>
      <c r="C12" s="102">
        <f>Data!W47</f>
        <v>5</v>
      </c>
      <c r="D12" s="102">
        <f>Data!X47</f>
        <v>3</v>
      </c>
      <c r="E12" s="102">
        <f>Data!Y47</f>
        <v>8</v>
      </c>
      <c r="F12" s="103">
        <f>Data!Z47</f>
        <v>53</v>
      </c>
      <c r="H12" s="121">
        <f t="shared" si="3"/>
        <v>44445</v>
      </c>
      <c r="I12" s="107">
        <f>SUMPRODUCT(Data!F47:I47,Data!V47:Y47)</f>
        <v>2007.4099999999999</v>
      </c>
      <c r="J12" s="84">
        <f>SUMPRODUCT(Data!J47:M47,Data!V47:Y47)</f>
        <v>11643.460000000001</v>
      </c>
      <c r="K12" s="84">
        <f>SUMPRODUCT(Data!N47:Q47,Data!V47:Y47)</f>
        <v>4545.62</v>
      </c>
      <c r="L12" s="84">
        <f>SUMPRODUCT(Data!R47:U47,Data!V47:Y47)</f>
        <v>26578.239999999998</v>
      </c>
      <c r="M12" s="84">
        <f t="shared" si="4"/>
        <v>44774.729999999996</v>
      </c>
      <c r="N12" s="84">
        <f>Data!AH47</f>
        <v>-5018.3899999999994</v>
      </c>
      <c r="O12" s="108">
        <f t="shared" si="5"/>
        <v>39756.339999999997</v>
      </c>
    </row>
    <row r="13" spans="1:15" x14ac:dyDescent="0.2">
      <c r="A13" s="121">
        <f t="shared" si="2"/>
        <v>44476</v>
      </c>
      <c r="B13" s="101">
        <f>Data!V48</f>
        <v>38</v>
      </c>
      <c r="C13" s="102">
        <f>Data!W48</f>
        <v>5</v>
      </c>
      <c r="D13" s="102">
        <f>Data!X48</f>
        <v>3</v>
      </c>
      <c r="E13" s="102">
        <f>Data!Y48</f>
        <v>8</v>
      </c>
      <c r="F13" s="103">
        <f>Data!Z48</f>
        <v>54</v>
      </c>
      <c r="H13" s="121">
        <f t="shared" si="3"/>
        <v>44476</v>
      </c>
      <c r="I13" s="107">
        <f>SUMPRODUCT(Data!F48:I48,Data!V48:Y48)</f>
        <v>2033.3799999999997</v>
      </c>
      <c r="J13" s="84">
        <f>SUMPRODUCT(Data!J48:M48,Data!V48:Y48)</f>
        <v>11794.27</v>
      </c>
      <c r="K13" s="84">
        <f>SUMPRODUCT(Data!N48:Q48,Data!V48:Y48)</f>
        <v>4601.26</v>
      </c>
      <c r="L13" s="84">
        <f>SUMPRODUCT(Data!R48:U48,Data!V48:Y48)</f>
        <v>26922.489999999998</v>
      </c>
      <c r="M13" s="84">
        <f t="shared" si="4"/>
        <v>45351.399999999994</v>
      </c>
      <c r="N13" s="84">
        <f>Data!AH48</f>
        <v>-5083.3899999999994</v>
      </c>
      <c r="O13" s="108">
        <f t="shared" si="5"/>
        <v>40268.009999999995</v>
      </c>
    </row>
    <row r="14" spans="1:15" x14ac:dyDescent="0.2">
      <c r="A14" s="121">
        <f t="shared" si="2"/>
        <v>44507</v>
      </c>
      <c r="B14" s="101">
        <f>Data!V49</f>
        <v>38</v>
      </c>
      <c r="C14" s="102">
        <f>Data!W49</f>
        <v>5</v>
      </c>
      <c r="D14" s="102">
        <f>Data!X49</f>
        <v>3</v>
      </c>
      <c r="E14" s="102">
        <f>Data!Y49</f>
        <v>8</v>
      </c>
      <c r="F14" s="103">
        <f>Data!Z49</f>
        <v>54</v>
      </c>
      <c r="H14" s="121">
        <f t="shared" si="3"/>
        <v>44507</v>
      </c>
      <c r="I14" s="107">
        <f>SUMPRODUCT(Data!F49:I49,Data!V49:Y49)</f>
        <v>2033.3799999999997</v>
      </c>
      <c r="J14" s="84">
        <f>SUMPRODUCT(Data!J49:M49,Data!V49:Y49)</f>
        <v>11794.27</v>
      </c>
      <c r="K14" s="84">
        <f>SUMPRODUCT(Data!N49:Q49,Data!V49:Y49)</f>
        <v>4601.26</v>
      </c>
      <c r="L14" s="84">
        <f>SUMPRODUCT(Data!R49:U49,Data!V49:Y49)</f>
        <v>26922.489999999998</v>
      </c>
      <c r="M14" s="84">
        <f t="shared" si="4"/>
        <v>45351.399999999994</v>
      </c>
      <c r="N14" s="84">
        <f>Data!AH49</f>
        <v>-5083.3899999999994</v>
      </c>
      <c r="O14" s="108">
        <f t="shared" si="5"/>
        <v>40268.009999999995</v>
      </c>
    </row>
    <row r="15" spans="1:15" ht="12.75" customHeight="1" thickBot="1" x14ac:dyDescent="0.25">
      <c r="A15" s="121">
        <f t="shared" si="2"/>
        <v>44538</v>
      </c>
      <c r="B15" s="137">
        <f>Data!V50</f>
        <v>37</v>
      </c>
      <c r="C15" s="138">
        <f>Data!W50</f>
        <v>5</v>
      </c>
      <c r="D15" s="138">
        <f>Data!X50</f>
        <v>3</v>
      </c>
      <c r="E15" s="138">
        <f>Data!Y50</f>
        <v>8</v>
      </c>
      <c r="F15" s="139">
        <f>Data!Z50</f>
        <v>53</v>
      </c>
      <c r="H15" s="121">
        <f t="shared" si="3"/>
        <v>44538</v>
      </c>
      <c r="I15" s="140">
        <f>SUMPRODUCT(Data!F50:I50,Data!V50:Y50)</f>
        <v>2007.4099999999999</v>
      </c>
      <c r="J15" s="141">
        <f>SUMPRODUCT(Data!J50:M50,Data!V50:Y50)</f>
        <v>11643.460000000001</v>
      </c>
      <c r="K15" s="141">
        <f>SUMPRODUCT(Data!N50:Q50,Data!V50:Y50)</f>
        <v>4545.62</v>
      </c>
      <c r="L15" s="141">
        <f>SUMPRODUCT(Data!R50:U50,Data!V50:Y50)</f>
        <v>26578.239999999998</v>
      </c>
      <c r="M15" s="141">
        <f t="shared" si="4"/>
        <v>44774.729999999996</v>
      </c>
      <c r="N15" s="141">
        <f>Data!AH50</f>
        <v>-5018.3899999999994</v>
      </c>
      <c r="O15" s="142">
        <f t="shared" si="5"/>
        <v>39756.339999999997</v>
      </c>
    </row>
    <row r="16" spans="1:15" x14ac:dyDescent="0.2">
      <c r="A16" s="125" t="s">
        <v>90</v>
      </c>
      <c r="B16" s="126">
        <f>AVERAGE(B4:B15)</f>
        <v>36.416666666666664</v>
      </c>
      <c r="C16" s="126">
        <f>AVERAGE(C4:C15)</f>
        <v>4.083333333333333</v>
      </c>
      <c r="D16" s="126">
        <f>AVERAGE(D4:D15)</f>
        <v>2.25</v>
      </c>
      <c r="E16" s="126">
        <f>AVERAGE(E4:E15)</f>
        <v>9.8333333333333339</v>
      </c>
      <c r="F16" s="126">
        <f>AVERAGE(F4:F15)</f>
        <v>52.583333333333336</v>
      </c>
      <c r="G16" s="127"/>
      <c r="H16" s="125" t="s">
        <v>91</v>
      </c>
      <c r="I16" s="128">
        <f>SUM(I4:I15)</f>
        <v>24583.81</v>
      </c>
      <c r="J16" s="128">
        <f t="shared" ref="J16:O16" si="6">SUM(J4:J15)</f>
        <v>142554.38</v>
      </c>
      <c r="K16" s="128">
        <f t="shared" si="6"/>
        <v>55042.360000000008</v>
      </c>
      <c r="L16" s="128">
        <f t="shared" si="6"/>
        <v>325404.79999999999</v>
      </c>
      <c r="M16" s="128">
        <f t="shared" si="6"/>
        <v>547585.35</v>
      </c>
      <c r="N16" s="128">
        <f t="shared" si="6"/>
        <v>-61441.51</v>
      </c>
      <c r="O16" s="128">
        <f t="shared" si="6"/>
        <v>486143.83999999997</v>
      </c>
    </row>
    <row r="18" spans="1:16" ht="15.75" x14ac:dyDescent="0.25">
      <c r="A18" s="119" t="s">
        <v>148</v>
      </c>
      <c r="H18" s="119" t="s">
        <v>92</v>
      </c>
      <c r="I18" s="82"/>
      <c r="J18" s="82"/>
      <c r="K18" s="82"/>
      <c r="L18" s="82"/>
    </row>
    <row r="19" spans="1:16" x14ac:dyDescent="0.2">
      <c r="H19" s="121"/>
      <c r="I19" s="82"/>
      <c r="J19" s="82"/>
      <c r="K19" s="82"/>
      <c r="L19" s="82"/>
    </row>
    <row r="20" spans="1:16" s="124" customFormat="1" ht="26.25" thickBot="1" x14ac:dyDescent="0.25">
      <c r="A20" s="122"/>
      <c r="B20" s="129" t="s">
        <v>141</v>
      </c>
      <c r="C20" s="129" t="s">
        <v>123</v>
      </c>
      <c r="D20" s="129" t="s">
        <v>111</v>
      </c>
      <c r="G20" s="123"/>
      <c r="H20" s="122"/>
      <c r="I20" s="129" t="s">
        <v>111</v>
      </c>
      <c r="J20" s="225" t="s">
        <v>112</v>
      </c>
      <c r="K20" s="129" t="s">
        <v>124</v>
      </c>
      <c r="L20" s="136"/>
      <c r="M20" s="136"/>
      <c r="N20" s="136"/>
      <c r="P20" s="109"/>
    </row>
    <row r="21" spans="1:16" ht="13.5" thickBot="1" x14ac:dyDescent="0.25">
      <c r="A21" s="121">
        <v>44197</v>
      </c>
      <c r="B21" s="104">
        <f>Data!B39</f>
        <v>9419.26</v>
      </c>
      <c r="C21" s="144">
        <f>(Data!C39)*-1</f>
        <v>0</v>
      </c>
      <c r="D21" s="106">
        <f>B21+C21</f>
        <v>9419.26</v>
      </c>
      <c r="H21" s="121">
        <v>44197</v>
      </c>
      <c r="I21" s="104">
        <f>D21+L40</f>
        <v>11086.720000000001</v>
      </c>
      <c r="J21" s="83">
        <f>Data!E39+Data!BA39</f>
        <v>28200.22</v>
      </c>
      <c r="K21" s="207">
        <f t="shared" ref="K21:K26" si="7">J21-I21</f>
        <v>17113.5</v>
      </c>
      <c r="L21" s="86"/>
      <c r="M21" s="88"/>
      <c r="N21" s="88"/>
      <c r="P21" s="226" t="s">
        <v>151</v>
      </c>
    </row>
    <row r="22" spans="1:16" x14ac:dyDescent="0.2">
      <c r="A22" s="121">
        <f>31+A21</f>
        <v>44228</v>
      </c>
      <c r="B22" s="107">
        <f>Data!B40</f>
        <v>57593.7</v>
      </c>
      <c r="C22" s="86">
        <f>(Data!C40)*-1</f>
        <v>0</v>
      </c>
      <c r="D22" s="108">
        <f t="shared" ref="D22:D26" si="8">B22+C22</f>
        <v>57593.7</v>
      </c>
      <c r="H22" s="121">
        <f>31+H21</f>
        <v>44228</v>
      </c>
      <c r="I22" s="107">
        <f t="shared" ref="I22:I32" si="9">D22+L41</f>
        <v>61050.579999999994</v>
      </c>
      <c r="J22" s="83">
        <f>Data!E40+Data!BA40</f>
        <v>28958.68</v>
      </c>
      <c r="K22" s="208">
        <f t="shared" si="7"/>
        <v>-32091.899999999994</v>
      </c>
      <c r="L22" s="86"/>
      <c r="M22" s="151" t="s">
        <v>125</v>
      </c>
      <c r="N22" s="148" t="s">
        <v>124</v>
      </c>
      <c r="O22" s="106">
        <f>K33</f>
        <v>-44554.92</v>
      </c>
      <c r="P22" s="227">
        <v>-57138.23</v>
      </c>
    </row>
    <row r="23" spans="1:16" x14ac:dyDescent="0.2">
      <c r="A23" s="121">
        <f t="shared" ref="A23:A32" si="10">31+A22</f>
        <v>44259</v>
      </c>
      <c r="B23" s="107">
        <f>Data!B41</f>
        <v>67757.11</v>
      </c>
      <c r="C23" s="86">
        <f>(Data!C41)*-1</f>
        <v>0</v>
      </c>
      <c r="D23" s="108">
        <f t="shared" si="8"/>
        <v>67757.11</v>
      </c>
      <c r="H23" s="121">
        <f t="shared" ref="H23:H32" si="11">31+H22</f>
        <v>44259</v>
      </c>
      <c r="I23" s="107">
        <f t="shared" si="9"/>
        <v>68761.960000000006</v>
      </c>
      <c r="J23" s="83">
        <f>Data!E41+Data!BA41</f>
        <v>29705.38</v>
      </c>
      <c r="K23" s="208">
        <f t="shared" si="7"/>
        <v>-39056.58</v>
      </c>
      <c r="L23" s="86"/>
      <c r="M23" s="153" t="s">
        <v>126</v>
      </c>
      <c r="N23" s="149" t="s">
        <v>127</v>
      </c>
      <c r="O23" s="108">
        <f>(O27-O22)/2</f>
        <v>-8603.6749999999993</v>
      </c>
      <c r="P23" s="228"/>
    </row>
    <row r="24" spans="1:16" x14ac:dyDescent="0.2">
      <c r="A24" s="121">
        <f t="shared" si="10"/>
        <v>44290</v>
      </c>
      <c r="B24" s="107">
        <f>Data!B42</f>
        <v>18093.689999999999</v>
      </c>
      <c r="C24" s="86">
        <f>(Data!C42)*-1</f>
        <v>0</v>
      </c>
      <c r="D24" s="108">
        <f t="shared" si="8"/>
        <v>18093.689999999999</v>
      </c>
      <c r="H24" s="121">
        <f t="shared" si="11"/>
        <v>44290</v>
      </c>
      <c r="I24" s="107">
        <f t="shared" si="9"/>
        <v>19772.89</v>
      </c>
      <c r="J24" s="83">
        <f>Data!E42+Data!BA42</f>
        <v>29705.38</v>
      </c>
      <c r="K24" s="208">
        <f t="shared" si="7"/>
        <v>9932.4900000000016</v>
      </c>
      <c r="L24" s="86"/>
      <c r="M24" s="153" t="s">
        <v>128</v>
      </c>
      <c r="N24" s="149" t="s">
        <v>129</v>
      </c>
      <c r="O24" s="108">
        <f>O23</f>
        <v>-8603.6749999999993</v>
      </c>
      <c r="P24" s="228"/>
    </row>
    <row r="25" spans="1:16" x14ac:dyDescent="0.2">
      <c r="A25" s="121">
        <f t="shared" si="10"/>
        <v>44321</v>
      </c>
      <c r="B25" s="107">
        <f>Data!B43</f>
        <v>12214.52</v>
      </c>
      <c r="C25" s="86">
        <f>(Data!C43)*-1</f>
        <v>0</v>
      </c>
      <c r="D25" s="108">
        <f t="shared" si="8"/>
        <v>12214.52</v>
      </c>
      <c r="H25" s="121">
        <f t="shared" si="11"/>
        <v>44321</v>
      </c>
      <c r="I25" s="107">
        <f t="shared" si="9"/>
        <v>13668.42</v>
      </c>
      <c r="J25" s="83">
        <f>Data!E43+Data!BA43</f>
        <v>31221.74</v>
      </c>
      <c r="K25" s="208">
        <f t="shared" si="7"/>
        <v>17553.32</v>
      </c>
      <c r="L25" s="86"/>
      <c r="M25" s="153" t="s">
        <v>130</v>
      </c>
      <c r="N25" s="149" t="s">
        <v>131</v>
      </c>
      <c r="O25" s="108">
        <f>O23+O24</f>
        <v>-17207.349999999999</v>
      </c>
      <c r="P25" s="228">
        <v>-3066.29</v>
      </c>
    </row>
    <row r="26" spans="1:16" x14ac:dyDescent="0.2">
      <c r="A26" s="121">
        <f t="shared" si="10"/>
        <v>44352</v>
      </c>
      <c r="B26" s="107">
        <f>Data!B44</f>
        <v>19675.41</v>
      </c>
      <c r="C26" s="86">
        <f>(Data!C44)*-1</f>
        <v>0</v>
      </c>
      <c r="D26" s="108">
        <f t="shared" si="8"/>
        <v>19675.41</v>
      </c>
      <c r="H26" s="121">
        <f t="shared" si="11"/>
        <v>44352</v>
      </c>
      <c r="I26" s="107">
        <f t="shared" si="9"/>
        <v>22293.67</v>
      </c>
      <c r="J26" s="83">
        <f>Data!E44+Data!BA44</f>
        <v>32359.43</v>
      </c>
      <c r="K26" s="208">
        <f t="shared" si="7"/>
        <v>10065.760000000002</v>
      </c>
      <c r="L26" s="86"/>
      <c r="M26" s="153"/>
      <c r="N26" s="149"/>
      <c r="O26" s="108"/>
      <c r="P26" s="219"/>
    </row>
    <row r="27" spans="1:16" x14ac:dyDescent="0.2">
      <c r="A27" s="121">
        <f t="shared" si="10"/>
        <v>44383</v>
      </c>
      <c r="B27" s="107">
        <f>Data!B45</f>
        <v>104058.82</v>
      </c>
      <c r="C27" s="86">
        <f>(Data!C45)*-1</f>
        <v>-8777.25</v>
      </c>
      <c r="D27" s="108">
        <f t="shared" ref="D27:D32" si="12">B27+C27</f>
        <v>95281.57</v>
      </c>
      <c r="H27" s="121">
        <f t="shared" si="11"/>
        <v>44383</v>
      </c>
      <c r="I27" s="107">
        <f t="shared" si="9"/>
        <v>95715.32</v>
      </c>
      <c r="J27" s="83">
        <f>Data!E45+Data!BA45</f>
        <v>32773.64</v>
      </c>
      <c r="K27" s="208">
        <f t="shared" ref="K27:K32" si="13">J27-I27</f>
        <v>-62941.680000000008</v>
      </c>
      <c r="L27" s="86"/>
      <c r="M27" s="153" t="s">
        <v>132</v>
      </c>
      <c r="N27" s="149" t="s">
        <v>133</v>
      </c>
      <c r="O27" s="108">
        <v>-61762.27</v>
      </c>
      <c r="P27" s="219">
        <f>P22+P25</f>
        <v>-60204.520000000004</v>
      </c>
    </row>
    <row r="28" spans="1:16" ht="13.5" thickBot="1" x14ac:dyDescent="0.25">
      <c r="A28" s="121">
        <f t="shared" si="10"/>
        <v>44414</v>
      </c>
      <c r="B28" s="107">
        <f>Data!B46</f>
        <v>36629.379999999997</v>
      </c>
      <c r="C28" s="86">
        <f>(Data!C46)*-1</f>
        <v>-6236.6</v>
      </c>
      <c r="D28" s="108">
        <f t="shared" si="12"/>
        <v>30392.78</v>
      </c>
      <c r="H28" s="121">
        <f t="shared" si="11"/>
        <v>44414</v>
      </c>
      <c r="I28" s="107">
        <f t="shared" si="9"/>
        <v>31576.129999999997</v>
      </c>
      <c r="J28" s="83">
        <f>Data!E46+Data!BA46</f>
        <v>31208.48</v>
      </c>
      <c r="K28" s="208">
        <f t="shared" si="13"/>
        <v>-367.64999999999782</v>
      </c>
      <c r="L28" s="86"/>
      <c r="M28" s="154" t="s">
        <v>134</v>
      </c>
      <c r="N28" s="149" t="s">
        <v>138</v>
      </c>
      <c r="O28" s="116">
        <v>0.5</v>
      </c>
      <c r="P28" s="229"/>
    </row>
    <row r="29" spans="1:16" ht="13.5" thickBot="1" x14ac:dyDescent="0.25">
      <c r="A29" s="121">
        <f t="shared" si="10"/>
        <v>44445</v>
      </c>
      <c r="B29" s="107">
        <f>Data!B47</f>
        <v>14076.15</v>
      </c>
      <c r="C29" s="86">
        <f>(Data!C47)*-1</f>
        <v>-15548.75</v>
      </c>
      <c r="D29" s="108">
        <f t="shared" si="12"/>
        <v>-1472.6000000000004</v>
      </c>
      <c r="H29" s="121">
        <f t="shared" si="11"/>
        <v>44445</v>
      </c>
      <c r="I29" s="107">
        <f t="shared" si="9"/>
        <v>494.50999999999954</v>
      </c>
      <c r="J29" s="83">
        <f>Data!E47+Data!BA47</f>
        <v>29656.109999999997</v>
      </c>
      <c r="K29" s="208">
        <f t="shared" si="13"/>
        <v>29161.599999999999</v>
      </c>
      <c r="L29" s="86"/>
      <c r="M29" s="155" t="s">
        <v>135</v>
      </c>
      <c r="N29" s="150" t="s">
        <v>136</v>
      </c>
      <c r="O29" s="142">
        <f>IF(O27*O28&lt;0,0,O27*28)</f>
        <v>0</v>
      </c>
      <c r="P29" s="230">
        <v>0</v>
      </c>
    </row>
    <row r="30" spans="1:16" x14ac:dyDescent="0.2">
      <c r="A30" s="121">
        <f t="shared" si="10"/>
        <v>44476</v>
      </c>
      <c r="B30" s="107">
        <f>Data!B48</f>
        <v>11217.55</v>
      </c>
      <c r="C30" s="86">
        <f>(Data!C48)*-1</f>
        <v>-518.89</v>
      </c>
      <c r="D30" s="108">
        <f t="shared" si="12"/>
        <v>10698.66</v>
      </c>
      <c r="H30" s="121">
        <f t="shared" si="11"/>
        <v>44476</v>
      </c>
      <c r="I30" s="107">
        <f t="shared" si="9"/>
        <v>12292.46</v>
      </c>
      <c r="J30" s="83">
        <f>Data!E48+Data!BA48</f>
        <v>30035.339999999997</v>
      </c>
      <c r="K30" s="208">
        <f t="shared" si="13"/>
        <v>17742.879999999997</v>
      </c>
      <c r="L30" s="86"/>
      <c r="M30" s="157"/>
      <c r="N30" s="157"/>
      <c r="O30" s="157"/>
    </row>
    <row r="31" spans="1:16" x14ac:dyDescent="0.2">
      <c r="A31" s="121">
        <f t="shared" si="10"/>
        <v>44507</v>
      </c>
      <c r="B31" s="107">
        <f>Data!B49</f>
        <v>51855.49</v>
      </c>
      <c r="C31" s="86">
        <f>(Data!C49)*-1</f>
        <v>-3965.61</v>
      </c>
      <c r="D31" s="108">
        <f t="shared" si="12"/>
        <v>47889.88</v>
      </c>
      <c r="H31" s="121">
        <f t="shared" si="11"/>
        <v>44507</v>
      </c>
      <c r="I31" s="107">
        <f t="shared" si="9"/>
        <v>50219.07</v>
      </c>
      <c r="J31" s="83">
        <f>Data!E49+Data!BA49</f>
        <v>30035.339999999997</v>
      </c>
      <c r="K31" s="208">
        <f t="shared" si="13"/>
        <v>-20183.730000000003</v>
      </c>
      <c r="L31" s="86"/>
      <c r="M31" s="232" t="s">
        <v>149</v>
      </c>
      <c r="N31" s="232"/>
      <c r="O31" s="232"/>
    </row>
    <row r="32" spans="1:16" ht="13.5" thickBot="1" x14ac:dyDescent="0.25">
      <c r="A32" s="121">
        <f t="shared" si="10"/>
        <v>44538</v>
      </c>
      <c r="B32" s="140">
        <f>Data!B50</f>
        <v>19142.29</v>
      </c>
      <c r="C32" s="91">
        <f>(Data!C50)*-1</f>
        <v>0</v>
      </c>
      <c r="D32" s="142">
        <f t="shared" si="12"/>
        <v>19142.29</v>
      </c>
      <c r="H32" s="121">
        <f t="shared" si="11"/>
        <v>44538</v>
      </c>
      <c r="I32" s="140">
        <f t="shared" si="9"/>
        <v>21139.040000000001</v>
      </c>
      <c r="J32" s="147">
        <f>Data!E50+Data!BA50</f>
        <v>29656.109999999997</v>
      </c>
      <c r="K32" s="209">
        <f t="shared" si="13"/>
        <v>8517.0699999999961</v>
      </c>
      <c r="L32" s="86"/>
      <c r="M32" s="232"/>
      <c r="N32" s="232"/>
      <c r="O32" s="232"/>
    </row>
    <row r="33" spans="1:14" x14ac:dyDescent="0.2">
      <c r="A33" s="125" t="s">
        <v>91</v>
      </c>
      <c r="B33" s="128">
        <f>SUM(B21:B32)</f>
        <v>421733.37</v>
      </c>
      <c r="C33" s="128">
        <f>SUM(C21:C32)</f>
        <v>-35047.1</v>
      </c>
      <c r="D33" s="128">
        <f>SUM(D21:D32)</f>
        <v>386686.27</v>
      </c>
      <c r="G33" s="131"/>
      <c r="H33" s="125" t="s">
        <v>91</v>
      </c>
      <c r="I33" s="128">
        <f>SUM(I21:I32)</f>
        <v>408070.77000000008</v>
      </c>
      <c r="J33" s="128">
        <f>SUM(J21:J32)</f>
        <v>363515.85</v>
      </c>
      <c r="K33" s="134">
        <f>SUM(K21:K32)</f>
        <v>-44554.92</v>
      </c>
      <c r="L33" s="143"/>
      <c r="M33" s="146"/>
      <c r="N33" s="146"/>
    </row>
    <row r="34" spans="1:14" x14ac:dyDescent="0.2">
      <c r="B34" s="84"/>
      <c r="C34" s="84"/>
      <c r="D34" s="84"/>
      <c r="E34" s="84"/>
      <c r="F34" s="84"/>
      <c r="G34" s="120"/>
      <c r="H34" s="121"/>
      <c r="I34" s="145"/>
      <c r="J34" s="145"/>
      <c r="K34" s="145"/>
      <c r="L34" s="233"/>
      <c r="M34" s="234"/>
      <c r="N34" s="234"/>
    </row>
    <row r="35" spans="1:14" x14ac:dyDescent="0.2">
      <c r="B35" s="84"/>
      <c r="C35" s="84"/>
      <c r="D35" s="84"/>
      <c r="E35" s="84"/>
      <c r="F35" s="84"/>
      <c r="G35" s="120"/>
      <c r="H35" s="121"/>
      <c r="I35" s="145"/>
      <c r="J35" s="145"/>
      <c r="K35" s="145"/>
      <c r="L35" s="233"/>
      <c r="M35" s="234"/>
      <c r="N35" s="234"/>
    </row>
    <row r="36" spans="1:14" ht="12" customHeight="1" x14ac:dyDescent="0.2"/>
    <row r="37" spans="1:14" ht="15.75" x14ac:dyDescent="0.25">
      <c r="A37" s="119" t="s">
        <v>115</v>
      </c>
      <c r="H37" s="119" t="s">
        <v>116</v>
      </c>
      <c r="I37" s="82"/>
      <c r="J37" s="82"/>
      <c r="K37" s="82"/>
      <c r="L37" s="82"/>
    </row>
    <row r="38" spans="1:14" x14ac:dyDescent="0.2">
      <c r="H38" s="121"/>
      <c r="I38" s="82"/>
      <c r="J38" s="82"/>
      <c r="K38" s="82"/>
      <c r="L38" s="82"/>
    </row>
    <row r="39" spans="1:14" s="124" customFormat="1" ht="26.25" thickBot="1" x14ac:dyDescent="0.25">
      <c r="A39" s="122"/>
      <c r="B39" s="123" t="s">
        <v>80</v>
      </c>
      <c r="C39" s="123" t="s">
        <v>81</v>
      </c>
      <c r="D39" s="123" t="s">
        <v>82</v>
      </c>
      <c r="E39" s="123" t="s">
        <v>83</v>
      </c>
      <c r="F39" s="123" t="s">
        <v>84</v>
      </c>
      <c r="G39" s="123"/>
      <c r="H39" s="122"/>
      <c r="I39" s="123" t="s">
        <v>96</v>
      </c>
      <c r="J39" s="123" t="s">
        <v>88</v>
      </c>
      <c r="K39" s="123" t="s">
        <v>97</v>
      </c>
      <c r="L39" s="123" t="s">
        <v>98</v>
      </c>
      <c r="M39" s="123" t="s">
        <v>93</v>
      </c>
    </row>
    <row r="40" spans="1:14" x14ac:dyDescent="0.2">
      <c r="A40" s="121">
        <v>44197</v>
      </c>
      <c r="B40" s="111">
        <f>Data!AR39</f>
        <v>33</v>
      </c>
      <c r="C40" s="112">
        <f>Data!AS39</f>
        <v>3</v>
      </c>
      <c r="D40" s="112">
        <f>Data!AT39</f>
        <v>1</v>
      </c>
      <c r="E40" s="112">
        <f>Data!AU39</f>
        <v>11</v>
      </c>
      <c r="F40" s="113">
        <f>Data!AV39</f>
        <v>48</v>
      </c>
      <c r="H40" s="121">
        <v>44197</v>
      </c>
      <c r="I40" s="104">
        <f>Data!BB39</f>
        <v>3526.6800000000003</v>
      </c>
      <c r="J40" s="195">
        <f>Data!BC39</f>
        <v>0</v>
      </c>
      <c r="K40" s="114">
        <f>Data!BD39</f>
        <v>3526.6800000000003</v>
      </c>
      <c r="L40" s="114">
        <f>Data!AQ39</f>
        <v>1667.46</v>
      </c>
      <c r="M40" s="115">
        <f t="shared" ref="M40:M45" si="14">L40/I40</f>
        <v>0.47281295722889516</v>
      </c>
    </row>
    <row r="41" spans="1:14" x14ac:dyDescent="0.2">
      <c r="A41" s="121">
        <f>31+A40</f>
        <v>44228</v>
      </c>
      <c r="B41" s="101">
        <f>Data!AR40</f>
        <v>35</v>
      </c>
      <c r="C41" s="102">
        <f>Data!AS40</f>
        <v>3</v>
      </c>
      <c r="D41" s="102">
        <f>Data!AT40</f>
        <v>1</v>
      </c>
      <c r="E41" s="102">
        <f>Data!AU40</f>
        <v>11</v>
      </c>
      <c r="F41" s="103">
        <f>Data!AV40</f>
        <v>50</v>
      </c>
      <c r="H41" s="121">
        <f>31+H40</f>
        <v>44228</v>
      </c>
      <c r="I41" s="107">
        <f>Data!BB40</f>
        <v>3609.48</v>
      </c>
      <c r="J41" s="187">
        <f>Data!BC40</f>
        <v>0</v>
      </c>
      <c r="K41" s="83">
        <f>Data!BD40</f>
        <v>3609.48</v>
      </c>
      <c r="L41" s="83">
        <f>Data!AQ40</f>
        <v>3456.88</v>
      </c>
      <c r="M41" s="116">
        <f t="shared" si="14"/>
        <v>0.95772244201380807</v>
      </c>
    </row>
    <row r="42" spans="1:14" x14ac:dyDescent="0.2">
      <c r="A42" s="121">
        <f t="shared" ref="A42:A51" si="15">31+A41</f>
        <v>44259</v>
      </c>
      <c r="B42" s="101">
        <f>Data!AR41</f>
        <v>35</v>
      </c>
      <c r="C42" s="102">
        <f>Data!AS41</f>
        <v>3</v>
      </c>
      <c r="D42" s="102">
        <f>Data!AT41</f>
        <v>2</v>
      </c>
      <c r="E42" s="102">
        <f>Data!AU41</f>
        <v>11</v>
      </c>
      <c r="F42" s="103">
        <f>Data!AV41</f>
        <v>51</v>
      </c>
      <c r="H42" s="121">
        <f t="shared" ref="H42:H51" si="16">31+H41</f>
        <v>44259</v>
      </c>
      <c r="I42" s="107">
        <f>Data!BB41</f>
        <v>3717.32</v>
      </c>
      <c r="J42" s="187">
        <f>Data!BC41</f>
        <v>0</v>
      </c>
      <c r="K42" s="83">
        <f>Data!BD41</f>
        <v>3717.32</v>
      </c>
      <c r="L42" s="83">
        <f>Data!AQ41</f>
        <v>1004.85</v>
      </c>
      <c r="M42" s="116">
        <f t="shared" si="14"/>
        <v>0.27031571131890714</v>
      </c>
    </row>
    <row r="43" spans="1:14" x14ac:dyDescent="0.2">
      <c r="A43" s="121">
        <f t="shared" si="15"/>
        <v>44290</v>
      </c>
      <c r="B43" s="101">
        <f>Data!AR42</f>
        <v>35</v>
      </c>
      <c r="C43" s="102">
        <f>Data!AS42</f>
        <v>3</v>
      </c>
      <c r="D43" s="102">
        <f>Data!AT42</f>
        <v>2</v>
      </c>
      <c r="E43" s="102">
        <f>Data!AU42</f>
        <v>11</v>
      </c>
      <c r="F43" s="103">
        <f>Data!AV42</f>
        <v>51</v>
      </c>
      <c r="H43" s="121">
        <f t="shared" si="16"/>
        <v>44290</v>
      </c>
      <c r="I43" s="107">
        <f>Data!BB42</f>
        <v>3717.32</v>
      </c>
      <c r="J43" s="187">
        <f>Data!BC42</f>
        <v>0</v>
      </c>
      <c r="K43" s="83">
        <f>Data!BD42</f>
        <v>3717.32</v>
      </c>
      <c r="L43" s="83">
        <f>Data!AQ42</f>
        <v>1679.2</v>
      </c>
      <c r="M43" s="116">
        <f t="shared" si="14"/>
        <v>0.45172328451680244</v>
      </c>
    </row>
    <row r="44" spans="1:14" x14ac:dyDescent="0.2">
      <c r="A44" s="121">
        <f t="shared" si="15"/>
        <v>44321</v>
      </c>
      <c r="B44" s="101">
        <f>Data!AR43</f>
        <v>36</v>
      </c>
      <c r="C44" s="102">
        <f>Data!AS43</f>
        <v>4</v>
      </c>
      <c r="D44" s="102">
        <f>Data!AT43</f>
        <v>2</v>
      </c>
      <c r="E44" s="102">
        <f>Data!AU43</f>
        <v>11</v>
      </c>
      <c r="F44" s="103">
        <f>Data!AV43</f>
        <v>53</v>
      </c>
      <c r="H44" s="121">
        <f t="shared" si="16"/>
        <v>44321</v>
      </c>
      <c r="I44" s="107">
        <f>Data!BB43</f>
        <v>3840.83</v>
      </c>
      <c r="J44" s="187">
        <f>Data!BC43</f>
        <v>0</v>
      </c>
      <c r="K44" s="83">
        <f>Data!BD43</f>
        <v>3840.83</v>
      </c>
      <c r="L44" s="83">
        <f>Data!AQ43</f>
        <v>1453.9</v>
      </c>
      <c r="M44" s="116">
        <f t="shared" si="14"/>
        <v>0.378537972261204</v>
      </c>
    </row>
    <row r="45" spans="1:14" x14ac:dyDescent="0.2">
      <c r="A45" s="121">
        <f t="shared" si="15"/>
        <v>44352</v>
      </c>
      <c r="B45" s="101">
        <f>Data!AR44</f>
        <v>39</v>
      </c>
      <c r="C45" s="102">
        <f>Data!AS44</f>
        <v>4</v>
      </c>
      <c r="D45" s="102">
        <f>Data!AT44</f>
        <v>2</v>
      </c>
      <c r="E45" s="102">
        <f>Data!AU44</f>
        <v>11</v>
      </c>
      <c r="F45" s="103">
        <f>Data!AV44</f>
        <v>56</v>
      </c>
      <c r="H45" s="121">
        <f t="shared" si="16"/>
        <v>44352</v>
      </c>
      <c r="I45" s="107">
        <f>Data!BB44</f>
        <v>3965.0299999999997</v>
      </c>
      <c r="J45" s="187">
        <f>Data!BC44</f>
        <v>0</v>
      </c>
      <c r="K45" s="83">
        <f>Data!BD44</f>
        <v>3965.0299999999997</v>
      </c>
      <c r="L45" s="83">
        <f>Data!AQ44</f>
        <v>2618.2600000000002</v>
      </c>
      <c r="M45" s="116">
        <f t="shared" si="14"/>
        <v>0.66033800500878947</v>
      </c>
    </row>
    <row r="46" spans="1:14" x14ac:dyDescent="0.2">
      <c r="A46" s="121">
        <f t="shared" si="15"/>
        <v>44383</v>
      </c>
      <c r="B46" s="101">
        <f>Data!AR45</f>
        <v>41</v>
      </c>
      <c r="C46" s="102">
        <f>Data!AS45</f>
        <v>4</v>
      </c>
      <c r="D46" s="102">
        <f>Data!AT45</f>
        <v>2</v>
      </c>
      <c r="E46" s="102">
        <f>Data!AU45</f>
        <v>11</v>
      </c>
      <c r="F46" s="103">
        <f>Data!AV45</f>
        <v>57</v>
      </c>
      <c r="H46" s="121">
        <f t="shared" si="16"/>
        <v>44383</v>
      </c>
      <c r="I46" s="107">
        <f>Data!BB45</f>
        <v>4006.4300000000003</v>
      </c>
      <c r="J46" s="187">
        <f>Data!BC45</f>
        <v>0</v>
      </c>
      <c r="K46" s="83">
        <f>Data!BD45</f>
        <v>4006.4300000000003</v>
      </c>
      <c r="L46" s="83">
        <f>Data!AQ45</f>
        <v>433.75</v>
      </c>
      <c r="M46" s="116">
        <f t="shared" ref="M46:M52" si="17">L46/I46</f>
        <v>0.1082634664776372</v>
      </c>
    </row>
    <row r="47" spans="1:14" x14ac:dyDescent="0.2">
      <c r="A47" s="121">
        <f t="shared" si="15"/>
        <v>44414</v>
      </c>
      <c r="B47" s="101">
        <f>Data!AR46</f>
        <v>39</v>
      </c>
      <c r="C47" s="102">
        <f>Data!AS46</f>
        <v>5</v>
      </c>
      <c r="D47" s="102">
        <f>Data!AT46</f>
        <v>3</v>
      </c>
      <c r="E47" s="102">
        <f>Data!AU46</f>
        <v>9</v>
      </c>
      <c r="F47" s="103">
        <f>Data!AV46</f>
        <v>56</v>
      </c>
      <c r="H47" s="121">
        <f t="shared" si="16"/>
        <v>44414</v>
      </c>
      <c r="I47" s="107">
        <f>Data!BB46</f>
        <v>3826.5600000000004</v>
      </c>
      <c r="J47" s="187">
        <f>Data!BC46</f>
        <v>0</v>
      </c>
      <c r="K47" s="83">
        <f>Data!BD46</f>
        <v>3826.5600000000004</v>
      </c>
      <c r="L47" s="83">
        <f>Data!AQ46</f>
        <v>1183.3499999999999</v>
      </c>
      <c r="M47" s="116">
        <f t="shared" si="17"/>
        <v>0.30924642498745603</v>
      </c>
    </row>
    <row r="48" spans="1:14" x14ac:dyDescent="0.2">
      <c r="A48" s="121">
        <f t="shared" si="15"/>
        <v>44445</v>
      </c>
      <c r="B48" s="101">
        <f>Data!AR47</f>
        <v>38</v>
      </c>
      <c r="C48" s="102">
        <f>Data!AS47</f>
        <v>5</v>
      </c>
      <c r="D48" s="102">
        <f>Data!AT47</f>
        <v>3</v>
      </c>
      <c r="E48" s="102">
        <f>Data!AU47</f>
        <v>8</v>
      </c>
      <c r="F48" s="103">
        <f>Data!AV47</f>
        <v>54</v>
      </c>
      <c r="H48" s="121">
        <f t="shared" si="16"/>
        <v>44445</v>
      </c>
      <c r="I48" s="107">
        <f>Data!BB47</f>
        <v>3620.95</v>
      </c>
      <c r="J48" s="187">
        <f>Data!BC47</f>
        <v>0</v>
      </c>
      <c r="K48" s="83">
        <f>Data!BD47</f>
        <v>3620.95</v>
      </c>
      <c r="L48" s="83">
        <f>Data!AQ47</f>
        <v>1967.11</v>
      </c>
      <c r="M48" s="116">
        <f t="shared" si="17"/>
        <v>0.54325798478299892</v>
      </c>
    </row>
    <row r="49" spans="1:13" x14ac:dyDescent="0.2">
      <c r="A49" s="121">
        <f t="shared" si="15"/>
        <v>44476</v>
      </c>
      <c r="B49" s="101">
        <f>Data!AR48</f>
        <v>39</v>
      </c>
      <c r="C49" s="102">
        <f>Data!AS48</f>
        <v>5</v>
      </c>
      <c r="D49" s="102">
        <f>Data!AT48</f>
        <v>3</v>
      </c>
      <c r="E49" s="102">
        <f>Data!AU48</f>
        <v>8</v>
      </c>
      <c r="F49" s="103">
        <f>Data!AV48</f>
        <v>55</v>
      </c>
      <c r="H49" s="121">
        <f t="shared" si="16"/>
        <v>44476</v>
      </c>
      <c r="I49" s="107">
        <f>Data!BB48</f>
        <v>3662.3500000000004</v>
      </c>
      <c r="J49" s="187">
        <f>Data!BC48</f>
        <v>0</v>
      </c>
      <c r="K49" s="83">
        <f>Data!BD48</f>
        <v>3662.3500000000004</v>
      </c>
      <c r="L49" s="83">
        <f>Data!AQ48</f>
        <v>1593.8</v>
      </c>
      <c r="M49" s="116">
        <f t="shared" si="17"/>
        <v>0.43518505877373814</v>
      </c>
    </row>
    <row r="50" spans="1:13" x14ac:dyDescent="0.2">
      <c r="A50" s="121">
        <f t="shared" si="15"/>
        <v>44507</v>
      </c>
      <c r="B50" s="101">
        <f>Data!AR49</f>
        <v>39</v>
      </c>
      <c r="C50" s="102">
        <f>Data!AS49</f>
        <v>5</v>
      </c>
      <c r="D50" s="102">
        <f>Data!AT49</f>
        <v>3</v>
      </c>
      <c r="E50" s="102">
        <f>Data!AU49</f>
        <v>8</v>
      </c>
      <c r="F50" s="103">
        <f>Data!AV49</f>
        <v>55</v>
      </c>
      <c r="H50" s="121">
        <f t="shared" si="16"/>
        <v>44507</v>
      </c>
      <c r="I50" s="107">
        <f>Data!BB49</f>
        <v>3662.3500000000004</v>
      </c>
      <c r="J50" s="187">
        <f>Data!BC49</f>
        <v>0</v>
      </c>
      <c r="K50" s="83">
        <f>Data!BD49</f>
        <v>3662.3500000000004</v>
      </c>
      <c r="L50" s="83">
        <f>Data!AQ49</f>
        <v>2329.19</v>
      </c>
      <c r="M50" s="116">
        <f t="shared" si="17"/>
        <v>0.63598236105232975</v>
      </c>
    </row>
    <row r="51" spans="1:13" ht="13.5" thickBot="1" x14ac:dyDescent="0.25">
      <c r="A51" s="121">
        <f t="shared" si="15"/>
        <v>44538</v>
      </c>
      <c r="B51" s="137">
        <f>Data!AR50</f>
        <v>38</v>
      </c>
      <c r="C51" s="138">
        <f>Data!AS50</f>
        <v>5</v>
      </c>
      <c r="D51" s="138">
        <f>Data!AT50</f>
        <v>3</v>
      </c>
      <c r="E51" s="138">
        <f>Data!AU50</f>
        <v>8</v>
      </c>
      <c r="F51" s="139">
        <f>Data!AV50</f>
        <v>54</v>
      </c>
      <c r="H51" s="121">
        <f t="shared" si="16"/>
        <v>44538</v>
      </c>
      <c r="I51" s="140">
        <f>Data!BB50</f>
        <v>3620.95</v>
      </c>
      <c r="J51" s="196">
        <f>Data!BC50</f>
        <v>0</v>
      </c>
      <c r="K51" s="147">
        <f>Data!BD50</f>
        <v>3620.95</v>
      </c>
      <c r="L51" s="147">
        <f>Data!AQ50</f>
        <v>1996.75</v>
      </c>
      <c r="M51" s="162">
        <f t="shared" si="17"/>
        <v>0.55144368190668203</v>
      </c>
    </row>
    <row r="52" spans="1:13" s="131" customFormat="1" x14ac:dyDescent="0.2">
      <c r="A52" s="125" t="s">
        <v>90</v>
      </c>
      <c r="B52" s="126">
        <f>AVERAGE(B40:B51)</f>
        <v>37.25</v>
      </c>
      <c r="C52" s="126">
        <f>AVERAGE(C40:C51)</f>
        <v>4.083333333333333</v>
      </c>
      <c r="D52" s="126">
        <f>AVERAGE(D40:D51)</f>
        <v>2.25</v>
      </c>
      <c r="E52" s="126">
        <f>AVERAGE(E40:E51)</f>
        <v>9.8333333333333339</v>
      </c>
      <c r="F52" s="126">
        <f>AVERAGE(F40:F51)</f>
        <v>53.333333333333336</v>
      </c>
      <c r="H52" s="125" t="s">
        <v>91</v>
      </c>
      <c r="I52" s="128">
        <f>SUM(I40:I51)</f>
        <v>44776.249999999993</v>
      </c>
      <c r="J52" s="161">
        <f>AVERAGE(J40:J51)</f>
        <v>0</v>
      </c>
      <c r="K52" s="132">
        <f>SUM(K40:K51)</f>
        <v>44776.249999999993</v>
      </c>
      <c r="L52" s="132">
        <f>SUM(L40:L51)</f>
        <v>21384.5</v>
      </c>
      <c r="M52" s="133">
        <f t="shared" si="17"/>
        <v>0.47758577370816008</v>
      </c>
    </row>
    <row r="54" spans="1:13" ht="15.75" x14ac:dyDescent="0.25">
      <c r="A54" s="119" t="s">
        <v>117</v>
      </c>
      <c r="H54" s="119" t="s">
        <v>118</v>
      </c>
      <c r="I54" s="82"/>
      <c r="J54" s="82"/>
      <c r="K54" s="82"/>
      <c r="L54" s="82"/>
    </row>
    <row r="55" spans="1:13" x14ac:dyDescent="0.2">
      <c r="H55" s="121"/>
      <c r="I55" s="82"/>
      <c r="J55" s="82"/>
      <c r="K55" s="82"/>
      <c r="L55" s="82"/>
    </row>
    <row r="56" spans="1:13" s="124" customFormat="1" ht="26.25" thickBot="1" x14ac:dyDescent="0.25">
      <c r="A56" s="122"/>
      <c r="B56" s="123" t="s">
        <v>80</v>
      </c>
      <c r="C56" s="123" t="s">
        <v>81</v>
      </c>
      <c r="D56" s="123" t="s">
        <v>82</v>
      </c>
      <c r="E56" s="123" t="s">
        <v>83</v>
      </c>
      <c r="F56" s="123" t="s">
        <v>84</v>
      </c>
      <c r="G56" s="123"/>
      <c r="H56" s="122"/>
      <c r="I56" s="123" t="s">
        <v>96</v>
      </c>
      <c r="J56" s="123" t="s">
        <v>88</v>
      </c>
      <c r="K56" s="123" t="s">
        <v>97</v>
      </c>
      <c r="L56" s="123" t="s">
        <v>98</v>
      </c>
      <c r="M56" s="123" t="s">
        <v>93</v>
      </c>
    </row>
    <row r="57" spans="1:13" x14ac:dyDescent="0.2">
      <c r="A57" s="121">
        <v>44197</v>
      </c>
      <c r="B57" s="111">
        <f>Data!BN39</f>
        <v>30</v>
      </c>
      <c r="C57" s="112">
        <f>Data!BO39</f>
        <v>3</v>
      </c>
      <c r="D57" s="112">
        <f>Data!BP39</f>
        <v>1</v>
      </c>
      <c r="E57" s="112">
        <f>Data!BQ39</f>
        <v>11</v>
      </c>
      <c r="F57" s="113">
        <f>Data!BU39</f>
        <v>45</v>
      </c>
      <c r="H57" s="121">
        <v>44197</v>
      </c>
      <c r="I57" s="104">
        <f>Data!BR39</f>
        <v>374.65</v>
      </c>
      <c r="J57" s="117">
        <f>Data!BS39</f>
        <v>0</v>
      </c>
      <c r="K57" s="114">
        <f>Data!BT39</f>
        <v>374.65</v>
      </c>
      <c r="L57" s="114">
        <f>Data!BM39</f>
        <v>105</v>
      </c>
      <c r="M57" s="115">
        <f t="shared" ref="M57:M62" si="18">L57/I57</f>
        <v>0.28026157747230751</v>
      </c>
    </row>
    <row r="58" spans="1:13" x14ac:dyDescent="0.2">
      <c r="A58" s="121">
        <f>31+A57</f>
        <v>44228</v>
      </c>
      <c r="B58" s="101">
        <f>Data!BN40</f>
        <v>32</v>
      </c>
      <c r="C58" s="102">
        <f>Data!BO40</f>
        <v>3</v>
      </c>
      <c r="D58" s="102">
        <f>Data!BP40</f>
        <v>1</v>
      </c>
      <c r="E58" s="102">
        <f>Data!BQ40</f>
        <v>11</v>
      </c>
      <c r="F58" s="103">
        <f>Data!BU40</f>
        <v>47</v>
      </c>
      <c r="H58" s="121">
        <f>31+H57</f>
        <v>44228</v>
      </c>
      <c r="I58" s="107">
        <f>Data!BR40</f>
        <v>388.16999999999996</v>
      </c>
      <c r="J58" s="118">
        <f>Data!BS40</f>
        <v>0</v>
      </c>
      <c r="K58" s="83">
        <f>Data!BT40</f>
        <v>388.16999999999996</v>
      </c>
      <c r="L58" s="83">
        <f>Data!BM40</f>
        <v>365</v>
      </c>
      <c r="M58" s="116">
        <f t="shared" si="18"/>
        <v>0.94030965813947509</v>
      </c>
    </row>
    <row r="59" spans="1:13" x14ac:dyDescent="0.2">
      <c r="A59" s="121">
        <f t="shared" ref="A59:A68" si="19">31+A58</f>
        <v>44259</v>
      </c>
      <c r="B59" s="101">
        <f>Data!BN41</f>
        <v>32</v>
      </c>
      <c r="C59" s="102">
        <f>Data!BO41</f>
        <v>3</v>
      </c>
      <c r="D59" s="102">
        <f>Data!BP41</f>
        <v>2</v>
      </c>
      <c r="E59" s="102">
        <f>Data!BQ41</f>
        <v>11</v>
      </c>
      <c r="F59" s="103">
        <f>Data!BU41</f>
        <v>48</v>
      </c>
      <c r="H59" s="121">
        <f t="shared" ref="H59:H68" si="20">31+H58</f>
        <v>44259</v>
      </c>
      <c r="I59" s="107">
        <f>Data!BR41</f>
        <v>397.41999999999996</v>
      </c>
      <c r="J59" s="118">
        <f>Data!BS41</f>
        <v>0</v>
      </c>
      <c r="K59" s="83">
        <f>Data!BT41</f>
        <v>397.41999999999996</v>
      </c>
      <c r="L59" s="83">
        <f>Data!BM41</f>
        <v>60</v>
      </c>
      <c r="M59" s="116">
        <f t="shared" si="18"/>
        <v>0.15097378088671937</v>
      </c>
    </row>
    <row r="60" spans="1:13" x14ac:dyDescent="0.2">
      <c r="A60" s="121">
        <f t="shared" si="19"/>
        <v>44290</v>
      </c>
      <c r="B60" s="101">
        <f>Data!BN42</f>
        <v>32</v>
      </c>
      <c r="C60" s="102">
        <f>Data!BO42</f>
        <v>3</v>
      </c>
      <c r="D60" s="102">
        <f>Data!BP42</f>
        <v>2</v>
      </c>
      <c r="E60" s="102">
        <f>Data!BQ42</f>
        <v>11</v>
      </c>
      <c r="F60" s="103">
        <f>Data!BU42</f>
        <v>48</v>
      </c>
      <c r="H60" s="121">
        <f t="shared" si="20"/>
        <v>44290</v>
      </c>
      <c r="I60" s="107">
        <f>Data!BR42</f>
        <v>397.41999999999996</v>
      </c>
      <c r="J60" s="118">
        <f>Data!BS42</f>
        <v>0</v>
      </c>
      <c r="K60" s="83">
        <f>Data!BT42</f>
        <v>397.41999999999996</v>
      </c>
      <c r="L60" s="83">
        <f>Data!BM42</f>
        <v>0</v>
      </c>
      <c r="M60" s="116">
        <f t="shared" si="18"/>
        <v>0</v>
      </c>
    </row>
    <row r="61" spans="1:13" x14ac:dyDescent="0.2">
      <c r="A61" s="121">
        <f t="shared" si="19"/>
        <v>44321</v>
      </c>
      <c r="B61" s="101">
        <f>Data!BN43</f>
        <v>34</v>
      </c>
      <c r="C61" s="102">
        <f>Data!BO43</f>
        <v>4</v>
      </c>
      <c r="D61" s="102">
        <f>Data!BP43</f>
        <v>2</v>
      </c>
      <c r="E61" s="102">
        <f>Data!BQ43</f>
        <v>11</v>
      </c>
      <c r="F61" s="103">
        <f>Data!BU43</f>
        <v>51</v>
      </c>
      <c r="H61" s="121">
        <f t="shared" si="20"/>
        <v>44321</v>
      </c>
      <c r="I61" s="107">
        <f>Data!BR43</f>
        <v>420.15</v>
      </c>
      <c r="J61" s="118">
        <f>Data!BS43</f>
        <v>0</v>
      </c>
      <c r="K61" s="83">
        <f>Data!BT43</f>
        <v>420.15</v>
      </c>
      <c r="L61" s="83">
        <f>Data!BM43</f>
        <v>0</v>
      </c>
      <c r="M61" s="116">
        <f t="shared" si="18"/>
        <v>0</v>
      </c>
    </row>
    <row r="62" spans="1:13" x14ac:dyDescent="0.2">
      <c r="A62" s="121">
        <f t="shared" si="19"/>
        <v>44352</v>
      </c>
      <c r="B62" s="101">
        <f>Data!BN44</f>
        <v>37</v>
      </c>
      <c r="C62" s="102">
        <f>Data!BO44</f>
        <v>4</v>
      </c>
      <c r="D62" s="102">
        <f>Data!BP44</f>
        <v>2</v>
      </c>
      <c r="E62" s="102">
        <f>Data!BQ44</f>
        <v>11</v>
      </c>
      <c r="F62" s="103">
        <f>Data!BU44</f>
        <v>54</v>
      </c>
      <c r="H62" s="121">
        <f t="shared" si="20"/>
        <v>44352</v>
      </c>
      <c r="I62" s="107">
        <f>Data!BR44</f>
        <v>440.43000000000006</v>
      </c>
      <c r="J62" s="118">
        <f>Data!BS44</f>
        <v>0</v>
      </c>
      <c r="K62" s="83">
        <f>Data!BT44</f>
        <v>440.43000000000006</v>
      </c>
      <c r="L62" s="83">
        <f>Data!BM44</f>
        <v>132.75</v>
      </c>
      <c r="M62" s="116">
        <f t="shared" si="18"/>
        <v>0.30140998569579724</v>
      </c>
    </row>
    <row r="63" spans="1:13" x14ac:dyDescent="0.2">
      <c r="A63" s="121">
        <f t="shared" si="19"/>
        <v>44383</v>
      </c>
      <c r="B63" s="101">
        <f>Data!BN45</f>
        <v>39</v>
      </c>
      <c r="C63" s="102">
        <f>Data!BO45</f>
        <v>4</v>
      </c>
      <c r="D63" s="102">
        <f>Data!BP45</f>
        <v>2</v>
      </c>
      <c r="E63" s="102">
        <f>Data!BQ45</f>
        <v>11</v>
      </c>
      <c r="F63" s="103">
        <f>Data!BU45</f>
        <v>56</v>
      </c>
      <c r="H63" s="121">
        <f t="shared" si="20"/>
        <v>44383</v>
      </c>
      <c r="I63" s="107">
        <f>Data!BR45</f>
        <v>453.95000000000005</v>
      </c>
      <c r="J63" s="118">
        <f>Data!BS45</f>
        <v>0</v>
      </c>
      <c r="K63" s="83">
        <f>Data!BT45</f>
        <v>453.95000000000005</v>
      </c>
      <c r="L63" s="83">
        <f>Data!BM45</f>
        <v>0</v>
      </c>
      <c r="M63" s="116">
        <f t="shared" ref="M63:M69" si="21">L63/I63</f>
        <v>0</v>
      </c>
    </row>
    <row r="64" spans="1:13" x14ac:dyDescent="0.2">
      <c r="A64" s="121">
        <f t="shared" si="19"/>
        <v>44414</v>
      </c>
      <c r="B64" s="101">
        <f>Data!BN46</f>
        <v>38</v>
      </c>
      <c r="C64" s="102">
        <f>Data!BO46</f>
        <v>5</v>
      </c>
      <c r="D64" s="102">
        <f>Data!BP46</f>
        <v>3</v>
      </c>
      <c r="E64" s="102">
        <f>Data!BQ46</f>
        <v>9</v>
      </c>
      <c r="F64" s="103">
        <f>Data!BU46</f>
        <v>55</v>
      </c>
      <c r="H64" s="121">
        <f t="shared" si="20"/>
        <v>44414</v>
      </c>
      <c r="I64" s="107">
        <f>Data!BR46</f>
        <v>441.11</v>
      </c>
      <c r="J64" s="118">
        <f>Data!BS46</f>
        <v>0</v>
      </c>
      <c r="K64" s="83">
        <f>Data!BT46</f>
        <v>441.11</v>
      </c>
      <c r="L64" s="83">
        <f>Data!BM46</f>
        <v>510</v>
      </c>
      <c r="M64" s="116">
        <f t="shared" si="21"/>
        <v>1.1561741969123347</v>
      </c>
    </row>
    <row r="65" spans="1:13" x14ac:dyDescent="0.2">
      <c r="A65" s="121">
        <f t="shared" si="19"/>
        <v>44445</v>
      </c>
      <c r="B65" s="101">
        <f>Data!BN47</f>
        <v>37</v>
      </c>
      <c r="C65" s="102">
        <f>Data!BO47</f>
        <v>5</v>
      </c>
      <c r="D65" s="102">
        <f>Data!BP47</f>
        <v>3</v>
      </c>
      <c r="E65" s="102">
        <f>Data!BQ47</f>
        <v>8</v>
      </c>
      <c r="F65" s="103">
        <f>Data!BU47</f>
        <v>53</v>
      </c>
      <c r="H65" s="121">
        <f t="shared" si="20"/>
        <v>44445</v>
      </c>
      <c r="I65" s="107">
        <f>Data!BR47</f>
        <v>422.08000000000004</v>
      </c>
      <c r="J65" s="118">
        <f>Data!BS47</f>
        <v>0</v>
      </c>
      <c r="K65" s="83">
        <f>Data!BT47</f>
        <v>422.08000000000004</v>
      </c>
      <c r="L65" s="83">
        <f>Data!BM47</f>
        <v>60</v>
      </c>
      <c r="M65" s="116">
        <f t="shared" si="21"/>
        <v>0.14215314632297193</v>
      </c>
    </row>
    <row r="66" spans="1:13" x14ac:dyDescent="0.2">
      <c r="A66" s="121">
        <f t="shared" si="19"/>
        <v>44476</v>
      </c>
      <c r="B66" s="101">
        <f>Data!BN48</f>
        <v>38</v>
      </c>
      <c r="C66" s="102">
        <f>Data!BO48</f>
        <v>5</v>
      </c>
      <c r="D66" s="102">
        <f>Data!BP48</f>
        <v>3</v>
      </c>
      <c r="E66" s="102">
        <f>Data!BQ48</f>
        <v>8</v>
      </c>
      <c r="F66" s="103">
        <f>Data!BU48</f>
        <v>54</v>
      </c>
      <c r="H66" s="121">
        <f t="shared" si="20"/>
        <v>44476</v>
      </c>
      <c r="I66" s="107">
        <f>Data!BR48</f>
        <v>428.84000000000003</v>
      </c>
      <c r="J66" s="118">
        <f>Data!BS48</f>
        <v>0</v>
      </c>
      <c r="K66" s="83">
        <f>Data!BT48</f>
        <v>428.84000000000003</v>
      </c>
      <c r="L66" s="83">
        <f>Data!BM48</f>
        <v>270</v>
      </c>
      <c r="M66" s="116">
        <f t="shared" si="21"/>
        <v>0.62960544725305467</v>
      </c>
    </row>
    <row r="67" spans="1:13" x14ac:dyDescent="0.2">
      <c r="A67" s="121">
        <f t="shared" si="19"/>
        <v>44507</v>
      </c>
      <c r="B67" s="101">
        <f>Data!BN49</f>
        <v>38</v>
      </c>
      <c r="C67" s="102">
        <f>Data!BO49</f>
        <v>5</v>
      </c>
      <c r="D67" s="102">
        <f>Data!BP49</f>
        <v>3</v>
      </c>
      <c r="E67" s="102">
        <f>Data!BQ49</f>
        <v>8</v>
      </c>
      <c r="F67" s="103">
        <f>Data!BU49</f>
        <v>54</v>
      </c>
      <c r="H67" s="121">
        <f t="shared" si="20"/>
        <v>44507</v>
      </c>
      <c r="I67" s="107">
        <f>Data!BR49</f>
        <v>428.84000000000003</v>
      </c>
      <c r="J67" s="118">
        <f>Data!BS49</f>
        <v>0</v>
      </c>
      <c r="K67" s="83">
        <f>Data!BT49</f>
        <v>428.84000000000003</v>
      </c>
      <c r="L67" s="83">
        <f>Data!BM49</f>
        <v>0</v>
      </c>
      <c r="M67" s="116">
        <f t="shared" si="21"/>
        <v>0</v>
      </c>
    </row>
    <row r="68" spans="1:13" ht="13.5" thickBot="1" x14ac:dyDescent="0.25">
      <c r="A68" s="121">
        <f t="shared" si="19"/>
        <v>44538</v>
      </c>
      <c r="B68" s="137">
        <f>Data!BN50</f>
        <v>38</v>
      </c>
      <c r="C68" s="138">
        <f>Data!BO50</f>
        <v>5</v>
      </c>
      <c r="D68" s="138">
        <f>Data!BP50</f>
        <v>3</v>
      </c>
      <c r="E68" s="138">
        <f>Data!BQ50</f>
        <v>8</v>
      </c>
      <c r="F68" s="139">
        <f>Data!BU50</f>
        <v>54</v>
      </c>
      <c r="H68" s="121">
        <f t="shared" si="20"/>
        <v>44538</v>
      </c>
      <c r="I68" s="140">
        <f>Data!BR50</f>
        <v>428.84000000000003</v>
      </c>
      <c r="J68" s="163">
        <f>Data!BS50</f>
        <v>0</v>
      </c>
      <c r="K68" s="147">
        <f>Data!BT50</f>
        <v>428.84000000000003</v>
      </c>
      <c r="L68" s="147">
        <f>Data!BM50</f>
        <v>75.25</v>
      </c>
      <c r="M68" s="162">
        <f t="shared" si="21"/>
        <v>0.17547337002145322</v>
      </c>
    </row>
    <row r="69" spans="1:13" s="131" customFormat="1" x14ac:dyDescent="0.2">
      <c r="A69" s="125" t="s">
        <v>90</v>
      </c>
      <c r="B69" s="126">
        <f>AVERAGE(B57:B68)</f>
        <v>35.416666666666664</v>
      </c>
      <c r="C69" s="126">
        <f>AVERAGE(C57:C68)</f>
        <v>4.083333333333333</v>
      </c>
      <c r="D69" s="126">
        <f>AVERAGE(D57:D68)</f>
        <v>2.25</v>
      </c>
      <c r="E69" s="126">
        <f>AVERAGE(E57:E68)</f>
        <v>9.8333333333333339</v>
      </c>
      <c r="F69" s="126">
        <f>AVERAGE(F57:F68)</f>
        <v>51.583333333333336</v>
      </c>
      <c r="H69" s="125" t="s">
        <v>91</v>
      </c>
      <c r="I69" s="128">
        <f>SUM(I57:I68)</f>
        <v>5021.8999999999996</v>
      </c>
      <c r="J69" s="134">
        <f>AVERAGE(J57:J68)</f>
        <v>0</v>
      </c>
      <c r="K69" s="132">
        <f>SUM(K57:K68)</f>
        <v>5021.8999999999996</v>
      </c>
      <c r="L69" s="132">
        <f>SUM(L57:L68)</f>
        <v>1578</v>
      </c>
      <c r="M69" s="133">
        <f t="shared" si="21"/>
        <v>0.31422370019315399</v>
      </c>
    </row>
    <row r="71" spans="1:13" ht="15.75" x14ac:dyDescent="0.25">
      <c r="A71" s="119" t="s">
        <v>119</v>
      </c>
      <c r="H71" s="135" t="s">
        <v>120</v>
      </c>
    </row>
    <row r="73" spans="1:13" s="131" customFormat="1" ht="26.25" thickBot="1" x14ac:dyDescent="0.25">
      <c r="A73" s="122"/>
      <c r="B73" s="123" t="s">
        <v>70</v>
      </c>
      <c r="C73" s="123" t="s">
        <v>31</v>
      </c>
      <c r="D73" s="123" t="s">
        <v>32</v>
      </c>
      <c r="E73" s="123" t="s">
        <v>102</v>
      </c>
      <c r="F73" s="127"/>
      <c r="G73" s="127"/>
      <c r="H73" s="122"/>
      <c r="I73" s="123" t="s">
        <v>106</v>
      </c>
      <c r="J73" s="123" t="s">
        <v>108</v>
      </c>
      <c r="K73" s="123" t="s">
        <v>107</v>
      </c>
      <c r="L73" s="123" t="s">
        <v>109</v>
      </c>
      <c r="M73" s="136" t="s">
        <v>110</v>
      </c>
    </row>
    <row r="74" spans="1:13" x14ac:dyDescent="0.2">
      <c r="A74" s="121">
        <v>44197</v>
      </c>
      <c r="B74" s="104">
        <f>Data!CD39</f>
        <v>517.21</v>
      </c>
      <c r="C74" s="117">
        <f>Data!CE39</f>
        <v>1081.18</v>
      </c>
      <c r="D74" s="105">
        <f>Data!CF39</f>
        <v>1275.46</v>
      </c>
      <c r="E74" s="106">
        <f t="shared" ref="E74:E79" si="22">B74+C74+D74</f>
        <v>2873.8500000000004</v>
      </c>
      <c r="H74" s="121">
        <v>44197</v>
      </c>
      <c r="I74" s="104">
        <f t="shared" ref="I74:I79" si="23">O4</f>
        <v>37608.68</v>
      </c>
      <c r="J74" s="117">
        <f t="shared" ref="J74:J80" si="24">K40</f>
        <v>3526.6800000000003</v>
      </c>
      <c r="K74" s="105">
        <f t="shared" ref="K74:K85" si="25">K57</f>
        <v>374.65</v>
      </c>
      <c r="L74" s="105">
        <f t="shared" ref="L74:L79" si="26">E74</f>
        <v>2873.8500000000004</v>
      </c>
      <c r="M74" s="106">
        <f t="shared" ref="M74:M79" si="27">SUM(I74:L74)</f>
        <v>44383.86</v>
      </c>
    </row>
    <row r="75" spans="1:13" x14ac:dyDescent="0.2">
      <c r="A75" s="121">
        <f>31+A74</f>
        <v>44228</v>
      </c>
      <c r="B75" s="107">
        <f>Data!CD40</f>
        <v>517.21</v>
      </c>
      <c r="C75" s="118">
        <f>Data!CE40</f>
        <v>1081.18</v>
      </c>
      <c r="D75" s="84">
        <f>Data!CF40</f>
        <v>1275.46</v>
      </c>
      <c r="E75" s="108">
        <f t="shared" si="22"/>
        <v>2873.8500000000004</v>
      </c>
      <c r="H75" s="121">
        <f>31+H74</f>
        <v>44228</v>
      </c>
      <c r="I75" s="107">
        <f t="shared" si="23"/>
        <v>38632.020000000004</v>
      </c>
      <c r="J75" s="118">
        <f t="shared" si="24"/>
        <v>3609.48</v>
      </c>
      <c r="K75" s="84">
        <f t="shared" si="25"/>
        <v>388.16999999999996</v>
      </c>
      <c r="L75" s="84">
        <f t="shared" si="26"/>
        <v>2873.8500000000004</v>
      </c>
      <c r="M75" s="108">
        <f t="shared" si="27"/>
        <v>45503.520000000004</v>
      </c>
    </row>
    <row r="76" spans="1:13" x14ac:dyDescent="0.2">
      <c r="A76" s="121">
        <f t="shared" ref="A76:A85" si="28">31+A75</f>
        <v>44259</v>
      </c>
      <c r="B76" s="107">
        <f>Data!CD41</f>
        <v>517.21</v>
      </c>
      <c r="C76" s="118">
        <f>Data!CE41</f>
        <v>1081.18</v>
      </c>
      <c r="D76" s="84">
        <f>Data!CF41</f>
        <v>1275.46</v>
      </c>
      <c r="E76" s="108">
        <f t="shared" si="22"/>
        <v>2873.8500000000004</v>
      </c>
      <c r="H76" s="121">
        <f t="shared" ref="H76:H85" si="29">31+H75</f>
        <v>44259</v>
      </c>
      <c r="I76" s="107">
        <f t="shared" si="23"/>
        <v>39605.189999999995</v>
      </c>
      <c r="J76" s="118">
        <f t="shared" si="24"/>
        <v>3717.32</v>
      </c>
      <c r="K76" s="84">
        <f t="shared" si="25"/>
        <v>397.41999999999996</v>
      </c>
      <c r="L76" s="84">
        <f t="shared" si="26"/>
        <v>2873.8500000000004</v>
      </c>
      <c r="M76" s="108">
        <f t="shared" si="27"/>
        <v>46593.779999999992</v>
      </c>
    </row>
    <row r="77" spans="1:13" x14ac:dyDescent="0.2">
      <c r="A77" s="121">
        <f t="shared" si="28"/>
        <v>44290</v>
      </c>
      <c r="B77" s="107">
        <f>Data!CD42</f>
        <v>517.21</v>
      </c>
      <c r="C77" s="118">
        <f>Data!CE42</f>
        <v>1081.18</v>
      </c>
      <c r="D77" s="84">
        <f>Data!CF42</f>
        <v>1275.46</v>
      </c>
      <c r="E77" s="108">
        <f t="shared" si="22"/>
        <v>2873.8500000000004</v>
      </c>
      <c r="H77" s="121">
        <f t="shared" si="29"/>
        <v>44290</v>
      </c>
      <c r="I77" s="107">
        <f t="shared" si="23"/>
        <v>39605.189999999995</v>
      </c>
      <c r="J77" s="118">
        <f t="shared" si="24"/>
        <v>3717.32</v>
      </c>
      <c r="K77" s="84">
        <f t="shared" si="25"/>
        <v>397.41999999999996</v>
      </c>
      <c r="L77" s="84">
        <f t="shared" si="26"/>
        <v>2873.8500000000004</v>
      </c>
      <c r="M77" s="108">
        <f t="shared" si="27"/>
        <v>46593.779999999992</v>
      </c>
    </row>
    <row r="78" spans="1:13" x14ac:dyDescent="0.2">
      <c r="A78" s="121">
        <f t="shared" si="28"/>
        <v>44321</v>
      </c>
      <c r="B78" s="107">
        <f>Data!CD43</f>
        <v>517.21</v>
      </c>
      <c r="C78" s="118">
        <f>Data!CE43</f>
        <v>1081.18</v>
      </c>
      <c r="D78" s="84">
        <f>Data!CF43</f>
        <v>1275.46</v>
      </c>
      <c r="E78" s="108">
        <f t="shared" si="22"/>
        <v>2873.8500000000004</v>
      </c>
      <c r="H78" s="121">
        <f t="shared" si="29"/>
        <v>44321</v>
      </c>
      <c r="I78" s="107">
        <f t="shared" si="23"/>
        <v>41753.01</v>
      </c>
      <c r="J78" s="118">
        <f t="shared" si="24"/>
        <v>3840.83</v>
      </c>
      <c r="K78" s="84">
        <f t="shared" si="25"/>
        <v>420.15</v>
      </c>
      <c r="L78" s="84">
        <f t="shared" si="26"/>
        <v>2873.8500000000004</v>
      </c>
      <c r="M78" s="108">
        <f t="shared" si="27"/>
        <v>48887.840000000004</v>
      </c>
    </row>
    <row r="79" spans="1:13" x14ac:dyDescent="0.2">
      <c r="A79" s="121">
        <f t="shared" si="28"/>
        <v>44352</v>
      </c>
      <c r="B79" s="107">
        <f>Data!CD44</f>
        <v>517.21</v>
      </c>
      <c r="C79" s="118">
        <f>Data!CE44</f>
        <v>1081.46</v>
      </c>
      <c r="D79" s="84">
        <f>Data!CF44</f>
        <v>1275.46</v>
      </c>
      <c r="E79" s="108">
        <f t="shared" si="22"/>
        <v>2874.13</v>
      </c>
      <c r="H79" s="121">
        <f t="shared" si="29"/>
        <v>44352</v>
      </c>
      <c r="I79" s="107">
        <f t="shared" si="23"/>
        <v>43288.02</v>
      </c>
      <c r="J79" s="118">
        <f t="shared" si="24"/>
        <v>3965.0299999999997</v>
      </c>
      <c r="K79" s="84">
        <f t="shared" si="25"/>
        <v>440.43000000000006</v>
      </c>
      <c r="L79" s="84">
        <f t="shared" si="26"/>
        <v>2874.13</v>
      </c>
      <c r="M79" s="108">
        <f t="shared" si="27"/>
        <v>50567.609999999993</v>
      </c>
    </row>
    <row r="80" spans="1:13" x14ac:dyDescent="0.2">
      <c r="A80" s="121">
        <f t="shared" si="28"/>
        <v>44383</v>
      </c>
      <c r="B80" s="107">
        <f>Data!CD45</f>
        <v>517.21</v>
      </c>
      <c r="C80" s="118">
        <f>Data!CE45</f>
        <v>1081.18</v>
      </c>
      <c r="D80" s="84">
        <f>Data!CF45</f>
        <v>1275.46</v>
      </c>
      <c r="E80" s="108">
        <f t="shared" ref="E80:E85" si="30">B80+C80+D80</f>
        <v>2873.8500000000004</v>
      </c>
      <c r="H80" s="121">
        <f t="shared" si="29"/>
        <v>44383</v>
      </c>
      <c r="I80" s="107">
        <f t="shared" ref="I80:I85" si="31">O10</f>
        <v>43799.689999999995</v>
      </c>
      <c r="J80" s="118">
        <f t="shared" si="24"/>
        <v>4006.4300000000003</v>
      </c>
      <c r="K80" s="84">
        <f t="shared" si="25"/>
        <v>453.95000000000005</v>
      </c>
      <c r="L80" s="84">
        <f t="shared" ref="L80:L85" si="32">E80</f>
        <v>2873.8500000000004</v>
      </c>
      <c r="M80" s="108">
        <f t="shared" ref="M80:M85" si="33">SUM(I80:L80)</f>
        <v>51133.919999999991</v>
      </c>
    </row>
    <row r="81" spans="1:13" x14ac:dyDescent="0.2">
      <c r="A81" s="121">
        <f t="shared" si="28"/>
        <v>44414</v>
      </c>
      <c r="B81" s="107">
        <f>Data!CD46</f>
        <v>517.21</v>
      </c>
      <c r="C81" s="118">
        <f>Data!CE46</f>
        <v>1081.18</v>
      </c>
      <c r="D81" s="84">
        <f>Data!CF46</f>
        <v>1275.46</v>
      </c>
      <c r="E81" s="108">
        <f t="shared" si="30"/>
        <v>2873.8500000000004</v>
      </c>
      <c r="H81" s="121">
        <f t="shared" si="29"/>
        <v>44414</v>
      </c>
      <c r="I81" s="107">
        <f t="shared" si="31"/>
        <v>41803.339999999997</v>
      </c>
      <c r="J81" s="118">
        <f>K47</f>
        <v>3826.5600000000004</v>
      </c>
      <c r="K81" s="84">
        <f t="shared" si="25"/>
        <v>441.11</v>
      </c>
      <c r="L81" s="84">
        <f t="shared" si="32"/>
        <v>2873.8500000000004</v>
      </c>
      <c r="M81" s="108">
        <f t="shared" si="33"/>
        <v>48944.859999999993</v>
      </c>
    </row>
    <row r="82" spans="1:13" x14ac:dyDescent="0.2">
      <c r="A82" s="121">
        <f t="shared" si="28"/>
        <v>44445</v>
      </c>
      <c r="B82" s="107">
        <f>Data!CD47</f>
        <v>557.66</v>
      </c>
      <c r="C82" s="118">
        <f>Data!CE47</f>
        <v>1174.92</v>
      </c>
      <c r="D82" s="84">
        <f>Data!CF47</f>
        <v>1382.41</v>
      </c>
      <c r="E82" s="108">
        <f t="shared" si="30"/>
        <v>3114.99</v>
      </c>
      <c r="H82" s="121">
        <f t="shared" si="29"/>
        <v>44445</v>
      </c>
      <c r="I82" s="107">
        <f t="shared" si="31"/>
        <v>39756.339999999997</v>
      </c>
      <c r="J82" s="118">
        <f>K48</f>
        <v>3620.95</v>
      </c>
      <c r="K82" s="84">
        <f t="shared" si="25"/>
        <v>422.08000000000004</v>
      </c>
      <c r="L82" s="84">
        <f t="shared" si="32"/>
        <v>3114.99</v>
      </c>
      <c r="M82" s="108">
        <f t="shared" si="33"/>
        <v>46914.359999999993</v>
      </c>
    </row>
    <row r="83" spans="1:13" x14ac:dyDescent="0.2">
      <c r="A83" s="121">
        <f t="shared" si="28"/>
        <v>44476</v>
      </c>
      <c r="B83" s="107">
        <f>Data!CD48</f>
        <v>522.86</v>
      </c>
      <c r="C83" s="118">
        <f>Data!CE48</f>
        <v>1128.1300000000001</v>
      </c>
      <c r="D83" s="84">
        <f>Data!CF48</f>
        <v>1322.3</v>
      </c>
      <c r="E83" s="108">
        <f t="shared" si="30"/>
        <v>2973.29</v>
      </c>
      <c r="H83" s="121">
        <f t="shared" si="29"/>
        <v>44476</v>
      </c>
      <c r="I83" s="107">
        <f t="shared" si="31"/>
        <v>40268.009999999995</v>
      </c>
      <c r="J83" s="118">
        <f>K49</f>
        <v>3662.3500000000004</v>
      </c>
      <c r="K83" s="84">
        <f t="shared" si="25"/>
        <v>428.84000000000003</v>
      </c>
      <c r="L83" s="84">
        <f t="shared" si="32"/>
        <v>2973.29</v>
      </c>
      <c r="M83" s="108">
        <f t="shared" si="33"/>
        <v>47332.489999999991</v>
      </c>
    </row>
    <row r="84" spans="1:13" x14ac:dyDescent="0.2">
      <c r="A84" s="121">
        <f t="shared" si="28"/>
        <v>44507</v>
      </c>
      <c r="B84" s="107">
        <f>Data!CD49</f>
        <v>522.86</v>
      </c>
      <c r="C84" s="118">
        <f>Data!CE49</f>
        <v>1128.1300000000001</v>
      </c>
      <c r="D84" s="84">
        <f>Data!CF49</f>
        <v>1322.2</v>
      </c>
      <c r="E84" s="108">
        <f t="shared" si="30"/>
        <v>2973.1900000000005</v>
      </c>
      <c r="H84" s="121">
        <f t="shared" si="29"/>
        <v>44507</v>
      </c>
      <c r="I84" s="107">
        <f t="shared" si="31"/>
        <v>40268.009999999995</v>
      </c>
      <c r="J84" s="118">
        <f>K50</f>
        <v>3662.3500000000004</v>
      </c>
      <c r="K84" s="84">
        <f t="shared" si="25"/>
        <v>428.84000000000003</v>
      </c>
      <c r="L84" s="84">
        <f t="shared" si="32"/>
        <v>2973.1900000000005</v>
      </c>
      <c r="M84" s="108">
        <f t="shared" si="33"/>
        <v>47332.389999999992</v>
      </c>
    </row>
    <row r="85" spans="1:13" ht="13.5" thickBot="1" x14ac:dyDescent="0.25">
      <c r="A85" s="121">
        <f t="shared" si="28"/>
        <v>44538</v>
      </c>
      <c r="B85" s="140">
        <f>Data!CD50</f>
        <v>522.86</v>
      </c>
      <c r="C85" s="163">
        <f>Data!CE50</f>
        <v>1128.1300000000001</v>
      </c>
      <c r="D85" s="141">
        <f>Data!CF50</f>
        <v>1322.3</v>
      </c>
      <c r="E85" s="142">
        <f t="shared" si="30"/>
        <v>2973.29</v>
      </c>
      <c r="H85" s="121">
        <f t="shared" si="29"/>
        <v>44538</v>
      </c>
      <c r="I85" s="140">
        <f t="shared" si="31"/>
        <v>39756.339999999997</v>
      </c>
      <c r="J85" s="163">
        <f>K51</f>
        <v>3620.95</v>
      </c>
      <c r="K85" s="141">
        <f t="shared" si="25"/>
        <v>428.84000000000003</v>
      </c>
      <c r="L85" s="141">
        <f t="shared" si="32"/>
        <v>2973.29</v>
      </c>
      <c r="M85" s="142">
        <f t="shared" si="33"/>
        <v>46779.419999999991</v>
      </c>
    </row>
    <row r="86" spans="1:13" s="131" customFormat="1" x14ac:dyDescent="0.2">
      <c r="A86" s="125" t="s">
        <v>91</v>
      </c>
      <c r="B86" s="128">
        <f>SUM(B74:B85)</f>
        <v>6263.9199999999992</v>
      </c>
      <c r="C86" s="134">
        <f>AVERAGE(C74:C85)</f>
        <v>1100.7525000000003</v>
      </c>
      <c r="D86" s="128">
        <f>SUM(D74:D85)</f>
        <v>15552.89</v>
      </c>
      <c r="E86" s="128">
        <f>SUM(E74:E85)</f>
        <v>35025.840000000004</v>
      </c>
      <c r="F86" s="127"/>
      <c r="G86" s="127"/>
      <c r="H86" s="125" t="s">
        <v>91</v>
      </c>
      <c r="I86" s="128">
        <f>SUM(I74:I85)</f>
        <v>486143.83999999997</v>
      </c>
      <c r="J86" s="134">
        <f>AVERAGE(J74:J85)</f>
        <v>3731.3541666666661</v>
      </c>
      <c r="K86" s="128">
        <f>SUM(K74:K85)</f>
        <v>5021.8999999999996</v>
      </c>
      <c r="L86" s="128">
        <f>SUM(L74:L85)</f>
        <v>35025.840000000004</v>
      </c>
      <c r="M86" s="128">
        <f>SUM(M74:M85)</f>
        <v>570967.82999999996</v>
      </c>
    </row>
  </sheetData>
  <mergeCells count="3">
    <mergeCell ref="M31:O32"/>
    <mergeCell ref="L34:L35"/>
    <mergeCell ref="M34:N35"/>
  </mergeCells>
  <conditionalFormatting sqref="M40:M52">
    <cfRule type="cellIs" dxfId="5" priority="4" stopIfTrue="1" operator="greaterThan">
      <formula>1</formula>
    </cfRule>
  </conditionalFormatting>
  <conditionalFormatting sqref="M57:M69">
    <cfRule type="cellIs" dxfId="4" priority="3" stopIfTrue="1" operator="greaterThan">
      <formula>1</formula>
    </cfRule>
  </conditionalFormatting>
  <pageMargins left="0.7" right="0.7" top="1" bottom="0.75" header="0.3" footer="0.3"/>
  <pageSetup scale="56" fitToHeight="0" orientation="landscape" r:id="rId1"/>
  <headerFooter>
    <oddHeader>&amp;L&amp;"Arial Narrow,Bold"&amp;14&amp;G&amp;C&amp;"Arial,Bold"&amp;12VERMONT SPORTSCAR
MONTHLY FINANCIAL REPORT&amp;"Arial,Regular"&amp;10
&amp;"Arial,Bold"JANUARY 1, 2021- DECEMBER 31, 2021&amp;R&amp;G</oddHeader>
    <oddFooter>&amp;R&amp;P</oddFooter>
  </headerFooter>
  <rowBreaks count="1" manualBreakCount="1">
    <brk id="52" max="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6"/>
  <sheetViews>
    <sheetView showGridLines="0" zoomScale="110" zoomScaleNormal="110" workbookViewId="0">
      <selection activeCell="O34" sqref="O34"/>
    </sheetView>
  </sheetViews>
  <sheetFormatPr defaultRowHeight="12.75" x14ac:dyDescent="0.2"/>
  <cols>
    <col min="1" max="1" width="7.7109375" style="121" customWidth="1"/>
    <col min="2" max="6" width="16.5703125" style="82" customWidth="1"/>
    <col min="7" max="7" width="7.85546875" style="82" customWidth="1"/>
    <col min="8" max="8" width="7.5703125" style="120" customWidth="1"/>
    <col min="9" max="19" width="16.5703125" style="120" customWidth="1"/>
    <col min="20" max="16384" width="9.140625" style="120"/>
  </cols>
  <sheetData>
    <row r="1" spans="1:15" ht="15.75" x14ac:dyDescent="0.25">
      <c r="A1" s="119" t="s">
        <v>79</v>
      </c>
      <c r="H1" s="119" t="s">
        <v>85</v>
      </c>
      <c r="I1" s="82"/>
      <c r="J1" s="82"/>
      <c r="K1" s="82"/>
      <c r="L1" s="82"/>
      <c r="M1" s="82"/>
      <c r="N1" s="82"/>
    </row>
    <row r="2" spans="1:15" x14ac:dyDescent="0.2">
      <c r="H2" s="121"/>
      <c r="I2" s="82"/>
      <c r="J2" s="82"/>
      <c r="K2" s="82"/>
      <c r="L2" s="82"/>
      <c r="M2" s="82"/>
      <c r="N2" s="82"/>
    </row>
    <row r="3" spans="1:15" s="124" customFormat="1" ht="26.25" thickBot="1" x14ac:dyDescent="0.25">
      <c r="A3" s="122"/>
      <c r="B3" s="123" t="s">
        <v>80</v>
      </c>
      <c r="C3" s="123" t="s">
        <v>81</v>
      </c>
      <c r="D3" s="123" t="s">
        <v>82</v>
      </c>
      <c r="E3" s="123" t="s">
        <v>83</v>
      </c>
      <c r="F3" s="123" t="s">
        <v>84</v>
      </c>
      <c r="G3" s="123"/>
      <c r="H3" s="122"/>
      <c r="I3" s="123" t="s">
        <v>87</v>
      </c>
      <c r="J3" s="123" t="s">
        <v>113</v>
      </c>
      <c r="K3" s="123" t="s">
        <v>114</v>
      </c>
      <c r="L3" s="123" t="s">
        <v>122</v>
      </c>
      <c r="M3" s="123" t="s">
        <v>86</v>
      </c>
      <c r="N3" s="123" t="s">
        <v>88</v>
      </c>
      <c r="O3" s="123" t="s">
        <v>89</v>
      </c>
    </row>
    <row r="4" spans="1:15" x14ac:dyDescent="0.2">
      <c r="A4" s="121">
        <v>43831</v>
      </c>
      <c r="B4" s="111">
        <f>Data!V27</f>
        <v>29</v>
      </c>
      <c r="C4" s="112">
        <f>Data!W27</f>
        <v>5</v>
      </c>
      <c r="D4" s="112">
        <f>Data!X27</f>
        <v>1</v>
      </c>
      <c r="E4" s="112">
        <f>Data!Y27</f>
        <v>9</v>
      </c>
      <c r="F4" s="113">
        <f>Data!Z27</f>
        <v>44</v>
      </c>
      <c r="H4" s="121">
        <v>43831</v>
      </c>
      <c r="I4" s="104">
        <f>SUMPRODUCT(Data!F27:I27,Data!V27:Y27)</f>
        <v>1760.45</v>
      </c>
      <c r="J4" s="105">
        <f>SUMPRODUCT(Data!J27:M27,Data!V27:Y27)</f>
        <v>9340.14</v>
      </c>
      <c r="K4" s="105">
        <f>SUMPRODUCT(Data!N27:Q27,Data!V27:Y27)</f>
        <v>3694.87</v>
      </c>
      <c r="L4" s="105">
        <f>SUMPRODUCT(Data!R27:U27,Data!V27:Y27)</f>
        <v>21904.2</v>
      </c>
      <c r="M4" s="105">
        <f>SUM(I4:L4)</f>
        <v>36699.660000000003</v>
      </c>
      <c r="N4" s="105">
        <f>Data!AH27</f>
        <v>0</v>
      </c>
      <c r="O4" s="106">
        <f>M4+N4</f>
        <v>36699.660000000003</v>
      </c>
    </row>
    <row r="5" spans="1:15" x14ac:dyDescent="0.2">
      <c r="A5" s="121">
        <f>31+A4</f>
        <v>43862</v>
      </c>
      <c r="B5" s="101">
        <f>Data!V28</f>
        <v>28</v>
      </c>
      <c r="C5" s="102">
        <f>Data!W28</f>
        <v>4</v>
      </c>
      <c r="D5" s="102">
        <f>Data!X28</f>
        <v>1</v>
      </c>
      <c r="E5" s="102">
        <f>Data!Y28</f>
        <v>9</v>
      </c>
      <c r="F5" s="103">
        <f>Data!Z28</f>
        <v>42</v>
      </c>
      <c r="H5" s="121">
        <f>31+H4</f>
        <v>43862</v>
      </c>
      <c r="I5" s="107">
        <f>SUMPRODUCT(Data!F28:I28,Data!V28:Y28)</f>
        <v>1680.71</v>
      </c>
      <c r="J5" s="84">
        <f>SUMPRODUCT(Data!J28:M28,Data!V28:Y28)</f>
        <v>8916.83</v>
      </c>
      <c r="K5" s="84">
        <f>SUMPRODUCT(Data!N28:Q28,Data!V28:Y28)</f>
        <v>3527.41</v>
      </c>
      <c r="L5" s="84">
        <f>SUMPRODUCT(Data!R28:U28,Data!V28:Y28)</f>
        <v>20911.480000000003</v>
      </c>
      <c r="M5" s="84">
        <f t="shared" ref="M5:M15" si="0">SUM(I5:L5)</f>
        <v>35036.430000000008</v>
      </c>
      <c r="N5" s="84">
        <f>Data!AH28</f>
        <v>0</v>
      </c>
      <c r="O5" s="108">
        <f t="shared" ref="O5:O15" si="1">M5+N5</f>
        <v>35036.430000000008</v>
      </c>
    </row>
    <row r="6" spans="1:15" ht="13.5" customHeight="1" x14ac:dyDescent="0.2">
      <c r="A6" s="121">
        <f t="shared" ref="A6:A15" si="2">31+A5</f>
        <v>43893</v>
      </c>
      <c r="B6" s="101">
        <f>Data!V29</f>
        <v>28</v>
      </c>
      <c r="C6" s="102">
        <f>Data!W29</f>
        <v>4</v>
      </c>
      <c r="D6" s="102">
        <f>Data!X29</f>
        <v>1</v>
      </c>
      <c r="E6" s="102">
        <f>Data!Y29</f>
        <v>8</v>
      </c>
      <c r="F6" s="103">
        <f>Data!Z29</f>
        <v>41</v>
      </c>
      <c r="H6" s="121">
        <f t="shared" ref="H6:H15" si="3">31+H5</f>
        <v>43893</v>
      </c>
      <c r="I6" s="107">
        <f>SUMPRODUCT(Data!F29:I29,Data!V29:Y29)</f>
        <v>1603.54</v>
      </c>
      <c r="J6" s="84">
        <f>SUMPRODUCT(Data!J29:M29,Data!V29:Y29)</f>
        <v>8507.17</v>
      </c>
      <c r="K6" s="84">
        <f>SUMPRODUCT(Data!N29:Q29,Data!V29:Y29)</f>
        <v>3365.36</v>
      </c>
      <c r="L6" s="84">
        <f>SUMPRODUCT(Data!R29:U29,Data!V29:Y29)</f>
        <v>19950.770000000004</v>
      </c>
      <c r="M6" s="84">
        <f t="shared" si="0"/>
        <v>33426.840000000004</v>
      </c>
      <c r="N6" s="84">
        <f>Data!AH29</f>
        <v>0</v>
      </c>
      <c r="O6" s="108">
        <f t="shared" si="1"/>
        <v>33426.840000000004</v>
      </c>
    </row>
    <row r="7" spans="1:15" x14ac:dyDescent="0.2">
      <c r="A7" s="121">
        <f t="shared" si="2"/>
        <v>43924</v>
      </c>
      <c r="B7" s="101">
        <f>Data!V30</f>
        <v>28</v>
      </c>
      <c r="C7" s="102">
        <f>Data!W30</f>
        <v>4</v>
      </c>
      <c r="D7" s="102">
        <f>Data!X30</f>
        <v>2</v>
      </c>
      <c r="E7" s="102">
        <f>Data!Y30</f>
        <v>8</v>
      </c>
      <c r="F7" s="103">
        <f>Data!Z30</f>
        <v>42</v>
      </c>
      <c r="H7" s="121">
        <f t="shared" si="3"/>
        <v>43924</v>
      </c>
      <c r="I7" s="107">
        <f>SUMPRODUCT(Data!F30:I30,Data!V30:Y30)</f>
        <v>1653.48</v>
      </c>
      <c r="J7" s="84">
        <f>SUMPRODUCT(Data!J30:M30,Data!V30:Y30)</f>
        <v>8766.6200000000008</v>
      </c>
      <c r="K7" s="84">
        <f>SUMPRODUCT(Data!N30:Q30,Data!V30:Y30)</f>
        <v>3468.0000000000005</v>
      </c>
      <c r="L7" s="84">
        <f>SUMPRODUCT(Data!R30:U30,Data!V30:Y30)</f>
        <v>20559.22</v>
      </c>
      <c r="M7" s="84">
        <f t="shared" si="0"/>
        <v>34447.32</v>
      </c>
      <c r="N7" s="84">
        <f>Data!AH30</f>
        <v>0</v>
      </c>
      <c r="O7" s="108">
        <f t="shared" si="1"/>
        <v>34447.32</v>
      </c>
    </row>
    <row r="8" spans="1:15" x14ac:dyDescent="0.2">
      <c r="A8" s="121">
        <f t="shared" si="2"/>
        <v>43955</v>
      </c>
      <c r="B8" s="101">
        <f>Data!V31</f>
        <v>28</v>
      </c>
      <c r="C8" s="102">
        <f>Data!W31</f>
        <v>3</v>
      </c>
      <c r="D8" s="102">
        <f>Data!X31</f>
        <v>2</v>
      </c>
      <c r="E8" s="102">
        <f>Data!Y31</f>
        <v>8</v>
      </c>
      <c r="F8" s="103">
        <f>Data!Z31</f>
        <v>41</v>
      </c>
      <c r="H8" s="121">
        <f t="shared" si="3"/>
        <v>43955</v>
      </c>
      <c r="I8" s="107">
        <f>SUMPRODUCT(Data!F31:I31,Data!V31:Y31)</f>
        <v>1599.46</v>
      </c>
      <c r="J8" s="84">
        <f>SUMPRODUCT(Data!J31:M31,Data!V31:Y31)</f>
        <v>8479.86</v>
      </c>
      <c r="K8" s="84">
        <f>SUMPRODUCT(Data!N31:Q31,Data!V31:Y31)</f>
        <v>3354.5600000000004</v>
      </c>
      <c r="L8" s="84">
        <f>SUMPRODUCT(Data!R31:U31,Data!V31:Y31)</f>
        <v>19886.740000000002</v>
      </c>
      <c r="M8" s="84">
        <f t="shared" si="0"/>
        <v>33320.620000000003</v>
      </c>
      <c r="N8" s="84">
        <f>Data!AH31</f>
        <v>0</v>
      </c>
      <c r="O8" s="108">
        <f t="shared" si="1"/>
        <v>33320.620000000003</v>
      </c>
    </row>
    <row r="9" spans="1:15" x14ac:dyDescent="0.2">
      <c r="A9" s="121">
        <f t="shared" si="2"/>
        <v>43986</v>
      </c>
      <c r="B9" s="101">
        <f>Data!V32</f>
        <v>28</v>
      </c>
      <c r="C9" s="102">
        <f>Data!W32</f>
        <v>3</v>
      </c>
      <c r="D9" s="102">
        <f>Data!X32</f>
        <v>2</v>
      </c>
      <c r="E9" s="102">
        <f>Data!Y32</f>
        <v>9</v>
      </c>
      <c r="F9" s="103">
        <f>Data!Z32</f>
        <v>42</v>
      </c>
      <c r="H9" s="121">
        <f t="shared" si="3"/>
        <v>43986</v>
      </c>
      <c r="I9" s="107">
        <f>SUMPRODUCT(Data!F32:I32,Data!V32:Y32)</f>
        <v>1676.63</v>
      </c>
      <c r="J9" s="84">
        <f>SUMPRODUCT(Data!J32:M32,Data!V32:Y32)</f>
        <v>8889.52</v>
      </c>
      <c r="K9" s="84">
        <f>SUMPRODUCT(Data!N32:Q32,Data!V32:Y32)</f>
        <v>3516.6100000000006</v>
      </c>
      <c r="L9" s="84">
        <f>SUMPRODUCT(Data!R32:U32,Data!V32:Y32)</f>
        <v>20847.45</v>
      </c>
      <c r="M9" s="84">
        <f t="shared" si="0"/>
        <v>34930.210000000006</v>
      </c>
      <c r="N9" s="84">
        <f>Data!AH32</f>
        <v>0</v>
      </c>
      <c r="O9" s="108">
        <f t="shared" si="1"/>
        <v>34930.210000000006</v>
      </c>
    </row>
    <row r="10" spans="1:15" x14ac:dyDescent="0.2">
      <c r="A10" s="121">
        <f t="shared" si="2"/>
        <v>44017</v>
      </c>
      <c r="B10" s="101">
        <f>Data!V33</f>
        <v>28</v>
      </c>
      <c r="C10" s="102">
        <f>Data!W33</f>
        <v>3</v>
      </c>
      <c r="D10" s="102">
        <f>Data!X33</f>
        <v>2</v>
      </c>
      <c r="E10" s="102">
        <f>Data!Y33</f>
        <v>9</v>
      </c>
      <c r="F10" s="103">
        <f>Data!Z33</f>
        <v>42</v>
      </c>
      <c r="H10" s="121">
        <f t="shared" si="3"/>
        <v>44017</v>
      </c>
      <c r="I10" s="107">
        <f>SUMPRODUCT(Data!F33:I33,Data!V33:Y33)</f>
        <v>1676.63</v>
      </c>
      <c r="J10" s="84">
        <f>SUMPRODUCT(Data!J33:M33,Data!V33:Y33)</f>
        <v>8889.52</v>
      </c>
      <c r="K10" s="84">
        <f>SUMPRODUCT(Data!N33:Q33,Data!V33:Y33)</f>
        <v>3516.6100000000006</v>
      </c>
      <c r="L10" s="84">
        <f>SUMPRODUCT(Data!R33:U33,Data!V33:Y33)</f>
        <v>20847.45</v>
      </c>
      <c r="M10" s="84">
        <f t="shared" si="0"/>
        <v>34930.210000000006</v>
      </c>
      <c r="N10" s="84">
        <f>Data!AH33</f>
        <v>0</v>
      </c>
      <c r="O10" s="108">
        <f t="shared" si="1"/>
        <v>34930.210000000006</v>
      </c>
    </row>
    <row r="11" spans="1:15" x14ac:dyDescent="0.2">
      <c r="A11" s="121">
        <f t="shared" si="2"/>
        <v>44048</v>
      </c>
      <c r="B11" s="101">
        <f>Data!V34</f>
        <v>30</v>
      </c>
      <c r="C11" s="102">
        <f>Data!W34</f>
        <v>3</v>
      </c>
      <c r="D11" s="102">
        <f>Data!X34</f>
        <v>2</v>
      </c>
      <c r="E11" s="102">
        <f>Data!Y34</f>
        <v>8</v>
      </c>
      <c r="F11" s="103">
        <f>Data!Z34</f>
        <v>43</v>
      </c>
      <c r="H11" s="121">
        <f t="shared" si="3"/>
        <v>44048</v>
      </c>
      <c r="I11" s="107">
        <f>SUMPRODUCT(Data!F34:I34,Data!V34:Y34)</f>
        <v>1650.9</v>
      </c>
      <c r="J11" s="84">
        <f>SUMPRODUCT(Data!J34:M34,Data!V34:Y34)</f>
        <v>8752.9599999999991</v>
      </c>
      <c r="K11" s="84">
        <f>SUMPRODUCT(Data!N34:Q34,Data!V34:Y34)</f>
        <v>3462.6000000000004</v>
      </c>
      <c r="L11" s="84">
        <f>SUMPRODUCT(Data!R34:U34,Data!V34:Y34)</f>
        <v>20527.22</v>
      </c>
      <c r="M11" s="84">
        <f t="shared" si="0"/>
        <v>34393.68</v>
      </c>
      <c r="N11" s="84">
        <f>Data!AH34</f>
        <v>0</v>
      </c>
      <c r="O11" s="108">
        <f t="shared" si="1"/>
        <v>34393.68</v>
      </c>
    </row>
    <row r="12" spans="1:15" x14ac:dyDescent="0.2">
      <c r="A12" s="121">
        <f t="shared" si="2"/>
        <v>44079</v>
      </c>
      <c r="B12" s="101">
        <f>Data!V35</f>
        <v>30</v>
      </c>
      <c r="C12" s="102">
        <f>Data!W35</f>
        <v>3</v>
      </c>
      <c r="D12" s="102">
        <f>Data!X35</f>
        <v>2</v>
      </c>
      <c r="E12" s="102">
        <f>Data!Y35</f>
        <v>9</v>
      </c>
      <c r="F12" s="103">
        <f>Data!Z35</f>
        <v>44</v>
      </c>
      <c r="H12" s="121">
        <f t="shared" si="3"/>
        <v>44079</v>
      </c>
      <c r="I12" s="107">
        <f>SUMPRODUCT(Data!F35:I35,Data!V35:Y35)</f>
        <v>1728.07</v>
      </c>
      <c r="J12" s="84">
        <f>SUMPRODUCT(Data!J35:M35,Data!V35:Y35)</f>
        <v>9162.619999999999</v>
      </c>
      <c r="K12" s="84">
        <f>SUMPRODUCT(Data!N35:Q35,Data!V35:Y35)</f>
        <v>3624.6500000000005</v>
      </c>
      <c r="L12" s="84">
        <f>SUMPRODUCT(Data!R35:U35,Data!V35:Y35)</f>
        <v>21487.93</v>
      </c>
      <c r="M12" s="84">
        <f t="shared" si="0"/>
        <v>36003.270000000004</v>
      </c>
      <c r="N12" s="84">
        <f>Data!AH35</f>
        <v>0</v>
      </c>
      <c r="O12" s="108">
        <f t="shared" si="1"/>
        <v>36003.270000000004</v>
      </c>
    </row>
    <row r="13" spans="1:15" x14ac:dyDescent="0.2">
      <c r="A13" s="121">
        <f t="shared" si="2"/>
        <v>44110</v>
      </c>
      <c r="B13" s="101">
        <f>Data!V36</f>
        <v>32</v>
      </c>
      <c r="C13" s="102">
        <f>Data!W36</f>
        <v>3</v>
      </c>
      <c r="D13" s="102">
        <f>Data!X36</f>
        <v>2</v>
      </c>
      <c r="E13" s="102">
        <f>Data!Y36</f>
        <v>10</v>
      </c>
      <c r="F13" s="103">
        <f>Data!Z36</f>
        <v>47</v>
      </c>
      <c r="H13" s="121">
        <f t="shared" si="3"/>
        <v>44110</v>
      </c>
      <c r="I13" s="107">
        <f>SUMPRODUCT(Data!F36:I36,Data!V36:Y36)</f>
        <v>1856.68</v>
      </c>
      <c r="J13" s="84">
        <f>SUMPRODUCT(Data!J36:M36,Data!V36:Y36)</f>
        <v>9845.380000000001</v>
      </c>
      <c r="K13" s="84">
        <f>SUMPRODUCT(Data!N36:Q36,Data!V36:Y36)</f>
        <v>3894.7400000000002</v>
      </c>
      <c r="L13" s="84">
        <f>SUMPRODUCT(Data!R36:U36,Data!V36:Y36)</f>
        <v>23089.120000000003</v>
      </c>
      <c r="M13" s="84">
        <f t="shared" si="0"/>
        <v>38685.920000000006</v>
      </c>
      <c r="N13" s="84">
        <f>Data!AH36</f>
        <v>0</v>
      </c>
      <c r="O13" s="108">
        <f t="shared" si="1"/>
        <v>38685.920000000006</v>
      </c>
    </row>
    <row r="14" spans="1:15" x14ac:dyDescent="0.2">
      <c r="A14" s="121">
        <f t="shared" si="2"/>
        <v>44141</v>
      </c>
      <c r="B14" s="101">
        <f>Data!V37</f>
        <v>33</v>
      </c>
      <c r="C14" s="102">
        <f>Data!W37</f>
        <v>3</v>
      </c>
      <c r="D14" s="102">
        <f>Data!X37</f>
        <v>2</v>
      </c>
      <c r="E14" s="102">
        <f>Data!Y37</f>
        <v>11</v>
      </c>
      <c r="F14" s="103">
        <f>Data!Z37</f>
        <v>49</v>
      </c>
      <c r="H14" s="121">
        <f t="shared" si="3"/>
        <v>44141</v>
      </c>
      <c r="I14" s="107">
        <f>SUMPRODUCT(Data!F37:I37,Data!V37:Y37)</f>
        <v>1959.5699999999997</v>
      </c>
      <c r="J14" s="84">
        <f>SUMPRODUCT(Data!J37:M37,Data!V37:Y37)</f>
        <v>10391.59</v>
      </c>
      <c r="K14" s="84">
        <f>SUMPRODUCT(Data!N37:Q37,Data!V37:Y37)</f>
        <v>4110.8100000000004</v>
      </c>
      <c r="L14" s="84">
        <f>SUMPRODUCT(Data!R37:U37,Data!V37:Y37)</f>
        <v>24370.07</v>
      </c>
      <c r="M14" s="84">
        <f t="shared" si="0"/>
        <v>40832.04</v>
      </c>
      <c r="N14" s="84">
        <f>Data!AH37</f>
        <v>0</v>
      </c>
      <c r="O14" s="108">
        <f t="shared" si="1"/>
        <v>40832.04</v>
      </c>
    </row>
    <row r="15" spans="1:15" ht="12.75" customHeight="1" thickBot="1" x14ac:dyDescent="0.25">
      <c r="A15" s="121">
        <f t="shared" si="2"/>
        <v>44172</v>
      </c>
      <c r="B15" s="137">
        <f>Data!V38</f>
        <v>34</v>
      </c>
      <c r="C15" s="138">
        <f>Data!W38</f>
        <v>3</v>
      </c>
      <c r="D15" s="138">
        <f>Data!X38</f>
        <v>2</v>
      </c>
      <c r="E15" s="138">
        <f>Data!Y38</f>
        <v>11</v>
      </c>
      <c r="F15" s="139">
        <f>Data!Z38</f>
        <v>50</v>
      </c>
      <c r="H15" s="121">
        <f t="shared" si="3"/>
        <v>44172</v>
      </c>
      <c r="I15" s="140">
        <f>SUMPRODUCT(Data!F38:I38,Data!V38:Y38)</f>
        <v>1985.29</v>
      </c>
      <c r="J15" s="141">
        <f>SUMPRODUCT(Data!J38:M38,Data!V38:Y38)</f>
        <v>10528.14</v>
      </c>
      <c r="K15" s="141">
        <f>SUMPRODUCT(Data!N38:Q38,Data!V38:Y38)</f>
        <v>4164.83</v>
      </c>
      <c r="L15" s="141">
        <f>SUMPRODUCT(Data!R38:U38,Data!V38:Y38)</f>
        <v>24690.31</v>
      </c>
      <c r="M15" s="141">
        <f t="shared" si="0"/>
        <v>41368.570000000007</v>
      </c>
      <c r="N15" s="141">
        <f>Data!AH38</f>
        <v>0</v>
      </c>
      <c r="O15" s="142">
        <f t="shared" si="1"/>
        <v>41368.570000000007</v>
      </c>
    </row>
    <row r="16" spans="1:15" x14ac:dyDescent="0.2">
      <c r="A16" s="125" t="s">
        <v>90</v>
      </c>
      <c r="B16" s="126">
        <f>AVERAGE(B4:B15)</f>
        <v>29.666666666666668</v>
      </c>
      <c r="C16" s="126">
        <f>AVERAGE(C4:C15)</f>
        <v>3.4166666666666665</v>
      </c>
      <c r="D16" s="126">
        <f>AVERAGE(D4:D15)</f>
        <v>1.75</v>
      </c>
      <c r="E16" s="126">
        <f>AVERAGE(E4:E15)</f>
        <v>9.0833333333333339</v>
      </c>
      <c r="F16" s="126">
        <f>AVERAGE(F4:F15)</f>
        <v>43.916666666666664</v>
      </c>
      <c r="G16" s="127"/>
      <c r="H16" s="125" t="s">
        <v>91</v>
      </c>
      <c r="I16" s="128">
        <f>SUM(I4:I15)</f>
        <v>20831.41</v>
      </c>
      <c r="J16" s="128">
        <f t="shared" ref="J16:O16" si="4">SUM(J4:J15)</f>
        <v>110470.34999999999</v>
      </c>
      <c r="K16" s="128">
        <f t="shared" si="4"/>
        <v>43701.05</v>
      </c>
      <c r="L16" s="128">
        <f t="shared" si="4"/>
        <v>259071.96000000002</v>
      </c>
      <c r="M16" s="128">
        <f t="shared" si="4"/>
        <v>434074.77</v>
      </c>
      <c r="N16" s="128">
        <f t="shared" si="4"/>
        <v>0</v>
      </c>
      <c r="O16" s="128">
        <f t="shared" si="4"/>
        <v>434074.77</v>
      </c>
    </row>
    <row r="18" spans="1:17" ht="15.75" x14ac:dyDescent="0.25">
      <c r="A18" s="119" t="s">
        <v>121</v>
      </c>
      <c r="H18" s="119" t="s">
        <v>92</v>
      </c>
      <c r="I18" s="82"/>
      <c r="J18" s="82"/>
      <c r="K18" s="82"/>
      <c r="L18" s="82"/>
    </row>
    <row r="19" spans="1:17" x14ac:dyDescent="0.2">
      <c r="H19" s="121"/>
      <c r="I19" s="82"/>
      <c r="J19" s="82"/>
      <c r="K19" s="82"/>
      <c r="L19" s="82"/>
    </row>
    <row r="20" spans="1:17" s="124" customFormat="1" ht="26.25" thickBot="1" x14ac:dyDescent="0.25">
      <c r="A20" s="122"/>
      <c r="B20" s="129" t="s">
        <v>141</v>
      </c>
      <c r="C20" s="129" t="s">
        <v>123</v>
      </c>
      <c r="D20" s="129" t="s">
        <v>111</v>
      </c>
      <c r="G20" s="123"/>
      <c r="H20" s="122"/>
      <c r="I20" s="129" t="s">
        <v>111</v>
      </c>
      <c r="J20" s="130" t="s">
        <v>112</v>
      </c>
      <c r="K20" s="129" t="s">
        <v>124</v>
      </c>
      <c r="L20" s="136"/>
      <c r="M20" s="136"/>
      <c r="N20" s="136"/>
      <c r="P20" s="235" t="s">
        <v>143</v>
      </c>
      <c r="Q20" s="109"/>
    </row>
    <row r="21" spans="1:17" ht="13.5" thickBot="1" x14ac:dyDescent="0.25">
      <c r="A21" s="121">
        <v>43831</v>
      </c>
      <c r="B21" s="218">
        <f>Data!B27-L40-L57</f>
        <v>6150.75</v>
      </c>
      <c r="C21" s="221">
        <f>(Data!C27)*-1</f>
        <v>0</v>
      </c>
      <c r="D21" s="106">
        <f>B21+C21</f>
        <v>6150.75</v>
      </c>
      <c r="H21" s="121">
        <v>43831</v>
      </c>
      <c r="I21" s="104">
        <f>D21+L40</f>
        <v>7555.15</v>
      </c>
      <c r="J21" s="224">
        <f>Data!E27+Data!BA27</f>
        <v>24485.39</v>
      </c>
      <c r="K21" s="158">
        <f>J21-I21</f>
        <v>16930.239999999998</v>
      </c>
      <c r="L21" s="86"/>
      <c r="M21" s="88"/>
      <c r="N21" s="88"/>
      <c r="P21" s="236"/>
      <c r="Q21" s="109"/>
    </row>
    <row r="22" spans="1:17" x14ac:dyDescent="0.2">
      <c r="A22" s="121">
        <f>31+A21</f>
        <v>43862</v>
      </c>
      <c r="B22" s="219">
        <f>Data!B28-L41-L58</f>
        <v>3769.2799999999997</v>
      </c>
      <c r="C22" s="222">
        <f>(Data!C28)*-1</f>
        <v>0</v>
      </c>
      <c r="D22" s="108">
        <f t="shared" ref="D22:D32" si="5">B22+C22</f>
        <v>3769.2799999999997</v>
      </c>
      <c r="H22" s="121">
        <f>31+H21</f>
        <v>43862</v>
      </c>
      <c r="I22" s="107">
        <f t="shared" ref="I22:I32" si="6">D22+L41</f>
        <v>6326.28</v>
      </c>
      <c r="J22" s="189">
        <f>Data!E28+Data!BA28</f>
        <v>23425.410000000003</v>
      </c>
      <c r="K22" s="159">
        <f>K21+(J22-I22)</f>
        <v>34029.370000000003</v>
      </c>
      <c r="L22" s="86"/>
      <c r="M22" s="151" t="s">
        <v>125</v>
      </c>
      <c r="N22" s="148" t="s">
        <v>124</v>
      </c>
      <c r="O22" s="152">
        <f>K33</f>
        <v>124593.95000000001</v>
      </c>
      <c r="P22" s="192">
        <v>117279.06</v>
      </c>
      <c r="Q22" s="109"/>
    </row>
    <row r="23" spans="1:17" x14ac:dyDescent="0.2">
      <c r="A23" s="121">
        <f t="shared" ref="A23:A32" si="7">31+A22</f>
        <v>43893</v>
      </c>
      <c r="B23" s="219">
        <f>Data!B29-L42-L59</f>
        <v>10895.98</v>
      </c>
      <c r="C23" s="222">
        <f>(Data!C29)*-1</f>
        <v>0</v>
      </c>
      <c r="D23" s="108">
        <f t="shared" si="5"/>
        <v>10895.98</v>
      </c>
      <c r="H23" s="121">
        <f t="shared" ref="H23:H32" si="8">31+H22</f>
        <v>43893</v>
      </c>
      <c r="I23" s="107">
        <f t="shared" si="6"/>
        <v>13107.82</v>
      </c>
      <c r="J23" s="189">
        <f>Data!E29+Data!BA29</f>
        <v>22329.720000000005</v>
      </c>
      <c r="K23" s="159">
        <f t="shared" ref="K23:K32" si="9">K22+(J23-I23)</f>
        <v>43251.270000000004</v>
      </c>
      <c r="L23" s="86"/>
      <c r="M23" s="153" t="s">
        <v>126</v>
      </c>
      <c r="N23" s="149" t="s">
        <v>127</v>
      </c>
      <c r="O23" s="110">
        <f>(25%*J31)</f>
        <v>6835.8074999999999</v>
      </c>
      <c r="P23" s="193"/>
      <c r="Q23" s="109"/>
    </row>
    <row r="24" spans="1:17" x14ac:dyDescent="0.2">
      <c r="A24" s="121">
        <f t="shared" si="7"/>
        <v>43924</v>
      </c>
      <c r="B24" s="219">
        <f>Data!B30-L43-L60</f>
        <v>2868.88</v>
      </c>
      <c r="C24" s="222">
        <f>(Data!C30)*-1</f>
        <v>0</v>
      </c>
      <c r="D24" s="108">
        <f t="shared" si="5"/>
        <v>2868.88</v>
      </c>
      <c r="H24" s="121">
        <f t="shared" si="8"/>
        <v>43924</v>
      </c>
      <c r="I24" s="107">
        <f t="shared" si="6"/>
        <v>1620.19</v>
      </c>
      <c r="J24" s="189">
        <f>Data!E30+Data!BA30</f>
        <v>23026.560000000001</v>
      </c>
      <c r="K24" s="159">
        <f t="shared" si="9"/>
        <v>64657.640000000007</v>
      </c>
      <c r="L24" s="86"/>
      <c r="M24" s="153" t="s">
        <v>128</v>
      </c>
      <c r="N24" s="149" t="s">
        <v>129</v>
      </c>
      <c r="O24" s="110">
        <f>50%*J32</f>
        <v>13848.550000000001</v>
      </c>
      <c r="P24" s="193"/>
      <c r="Q24" s="109"/>
    </row>
    <row r="25" spans="1:17" x14ac:dyDescent="0.2">
      <c r="A25" s="121">
        <f t="shared" si="7"/>
        <v>43955</v>
      </c>
      <c r="B25" s="219">
        <f>Data!B31-L44-L61</f>
        <v>2568.16</v>
      </c>
      <c r="C25" s="222">
        <f>(Data!C31)*-1</f>
        <v>0</v>
      </c>
      <c r="D25" s="108">
        <f t="shared" si="5"/>
        <v>2568.16</v>
      </c>
      <c r="H25" s="121">
        <f t="shared" si="8"/>
        <v>43955</v>
      </c>
      <c r="I25" s="107">
        <f t="shared" si="6"/>
        <v>2568.16</v>
      </c>
      <c r="J25" s="189">
        <f>Data!E31+Data!BA31</f>
        <v>22286.81</v>
      </c>
      <c r="K25" s="159">
        <f t="shared" si="9"/>
        <v>84376.290000000008</v>
      </c>
      <c r="L25" s="86"/>
      <c r="M25" s="153" t="s">
        <v>130</v>
      </c>
      <c r="N25" s="149" t="s">
        <v>131</v>
      </c>
      <c r="O25" s="110">
        <f>O23+O24</f>
        <v>20684.357500000002</v>
      </c>
      <c r="P25" s="194">
        <v>7609.87</v>
      </c>
      <c r="Q25" s="109"/>
    </row>
    <row r="26" spans="1:17" x14ac:dyDescent="0.2">
      <c r="A26" s="121">
        <f t="shared" si="7"/>
        <v>43986</v>
      </c>
      <c r="B26" s="219">
        <f>Data!B32-L45-L62</f>
        <v>1853.2400000000002</v>
      </c>
      <c r="C26" s="222">
        <f>(Data!C32)*-1</f>
        <v>0</v>
      </c>
      <c r="D26" s="108">
        <f t="shared" si="5"/>
        <v>1853.2400000000002</v>
      </c>
      <c r="H26" s="121">
        <f t="shared" si="8"/>
        <v>43986</v>
      </c>
      <c r="I26" s="107">
        <f t="shared" si="6"/>
        <v>2134.59</v>
      </c>
      <c r="J26" s="189">
        <f>Data!E32+Data!BA32</f>
        <v>23382.5</v>
      </c>
      <c r="K26" s="159">
        <f t="shared" si="9"/>
        <v>105624.20000000001</v>
      </c>
      <c r="L26" s="86"/>
      <c r="M26" s="153"/>
      <c r="N26" s="149"/>
      <c r="O26" s="110"/>
      <c r="P26" s="188"/>
    </row>
    <row r="27" spans="1:17" x14ac:dyDescent="0.2">
      <c r="A27" s="121">
        <f t="shared" si="7"/>
        <v>44017</v>
      </c>
      <c r="B27" s="219">
        <f>Data!B33-L46-L63</f>
        <v>3433.29</v>
      </c>
      <c r="C27" s="222">
        <f>(Data!C33)*-1</f>
        <v>0</v>
      </c>
      <c r="D27" s="108">
        <f t="shared" si="5"/>
        <v>3433.29</v>
      </c>
      <c r="H27" s="121">
        <f t="shared" si="8"/>
        <v>44017</v>
      </c>
      <c r="I27" s="107">
        <f t="shared" si="6"/>
        <v>4802.29</v>
      </c>
      <c r="J27" s="189">
        <f>Data!E33+Data!BA33</f>
        <v>23382.5</v>
      </c>
      <c r="K27" s="159">
        <f t="shared" si="9"/>
        <v>124204.41</v>
      </c>
      <c r="L27" s="86"/>
      <c r="M27" s="153" t="s">
        <v>132</v>
      </c>
      <c r="N27" s="149" t="s">
        <v>133</v>
      </c>
      <c r="O27" s="110">
        <f>O22-O25</f>
        <v>103909.59250000001</v>
      </c>
      <c r="P27" s="189">
        <f>P22-P25</f>
        <v>109669.19</v>
      </c>
    </row>
    <row r="28" spans="1:17" ht="13.5" thickBot="1" x14ac:dyDescent="0.25">
      <c r="A28" s="121">
        <f t="shared" si="7"/>
        <v>44048</v>
      </c>
      <c r="B28" s="219">
        <f>Data!B34-L47-L64</f>
        <v>20139.41</v>
      </c>
      <c r="C28" s="222">
        <f>(Data!C34)*-1</f>
        <v>0</v>
      </c>
      <c r="D28" s="108">
        <f t="shared" si="5"/>
        <v>20139.41</v>
      </c>
      <c r="H28" s="121">
        <f t="shared" si="8"/>
        <v>44048</v>
      </c>
      <c r="I28" s="107">
        <f t="shared" si="6"/>
        <v>20706.41</v>
      </c>
      <c r="J28" s="189">
        <f>Data!E34+Data!BA34</f>
        <v>22994.550000000003</v>
      </c>
      <c r="K28" s="159">
        <f t="shared" si="9"/>
        <v>126492.55</v>
      </c>
      <c r="L28" s="86"/>
      <c r="M28" s="154" t="s">
        <v>134</v>
      </c>
      <c r="N28" s="149" t="s">
        <v>138</v>
      </c>
      <c r="O28" s="116">
        <v>0.5</v>
      </c>
      <c r="P28" s="190">
        <v>0.5</v>
      </c>
    </row>
    <row r="29" spans="1:17" ht="13.5" thickBot="1" x14ac:dyDescent="0.25">
      <c r="A29" s="121">
        <f t="shared" si="7"/>
        <v>44079</v>
      </c>
      <c r="B29" s="219">
        <f>Data!B35-L48-L65</f>
        <v>22266.41</v>
      </c>
      <c r="C29" s="222">
        <f>(Data!C35)*-1</f>
        <v>0</v>
      </c>
      <c r="D29" s="108">
        <f t="shared" si="5"/>
        <v>22266.41</v>
      </c>
      <c r="H29" s="121">
        <f t="shared" si="8"/>
        <v>44079</v>
      </c>
      <c r="I29" s="107">
        <f t="shared" si="6"/>
        <v>22968.41</v>
      </c>
      <c r="J29" s="189">
        <f>Data!E35+Data!BA35</f>
        <v>24090.240000000002</v>
      </c>
      <c r="K29" s="159">
        <f t="shared" si="9"/>
        <v>127614.38</v>
      </c>
      <c r="L29" s="86"/>
      <c r="M29" s="155" t="s">
        <v>135</v>
      </c>
      <c r="N29" s="150" t="s">
        <v>136</v>
      </c>
      <c r="O29" s="156">
        <f>O27*O28</f>
        <v>51954.796250000007</v>
      </c>
      <c r="P29" s="230">
        <f>P27*P28</f>
        <v>54834.595000000001</v>
      </c>
    </row>
    <row r="30" spans="1:17" x14ac:dyDescent="0.2">
      <c r="A30" s="121">
        <f t="shared" si="7"/>
        <v>44110</v>
      </c>
      <c r="B30" s="219">
        <f>Data!B36-L49-L66</f>
        <v>14271.099999999999</v>
      </c>
      <c r="C30" s="222">
        <f>(Data!C36)*-1</f>
        <v>0</v>
      </c>
      <c r="D30" s="108">
        <f t="shared" si="5"/>
        <v>14271.099999999999</v>
      </c>
      <c r="H30" s="121">
        <f t="shared" si="8"/>
        <v>44110</v>
      </c>
      <c r="I30" s="107">
        <f t="shared" si="6"/>
        <v>15351.46</v>
      </c>
      <c r="J30" s="189">
        <f>Data!E36+Data!BA36</f>
        <v>25893.670000000002</v>
      </c>
      <c r="K30" s="159">
        <f t="shared" si="9"/>
        <v>138156.59</v>
      </c>
      <c r="L30" s="86"/>
      <c r="M30" s="157"/>
      <c r="N30" s="157"/>
      <c r="O30" s="157"/>
    </row>
    <row r="31" spans="1:17" x14ac:dyDescent="0.2">
      <c r="A31" s="121">
        <f t="shared" si="7"/>
        <v>44141</v>
      </c>
      <c r="B31" s="219">
        <f>Data!B37-L50-L67</f>
        <v>5715.5</v>
      </c>
      <c r="C31" s="222">
        <f>(Data!C37)*-1</f>
        <v>0</v>
      </c>
      <c r="D31" s="108">
        <f t="shared" si="5"/>
        <v>5715.5</v>
      </c>
      <c r="H31" s="121">
        <f t="shared" si="8"/>
        <v>44141</v>
      </c>
      <c r="I31" s="107">
        <f t="shared" si="6"/>
        <v>6722.5</v>
      </c>
      <c r="J31" s="189">
        <f>Data!E37+Data!BA37</f>
        <v>27343.23</v>
      </c>
      <c r="K31" s="159">
        <f t="shared" si="9"/>
        <v>158777.32</v>
      </c>
      <c r="L31" s="86"/>
      <c r="M31" s="232" t="s">
        <v>137</v>
      </c>
      <c r="N31" s="232"/>
      <c r="O31" s="232"/>
    </row>
    <row r="32" spans="1:17" ht="13.5" thickBot="1" x14ac:dyDescent="0.25">
      <c r="A32" s="121">
        <f t="shared" si="7"/>
        <v>44172</v>
      </c>
      <c r="B32" s="220">
        <f>Data!B38-L51-L68</f>
        <v>59406.39</v>
      </c>
      <c r="C32" s="223">
        <f>(Data!C38)*-1</f>
        <v>-280.89999999999998</v>
      </c>
      <c r="D32" s="142">
        <f t="shared" si="5"/>
        <v>59125.49</v>
      </c>
      <c r="H32" s="121">
        <f t="shared" si="8"/>
        <v>44172</v>
      </c>
      <c r="I32" s="140">
        <f t="shared" si="6"/>
        <v>61880.47</v>
      </c>
      <c r="J32" s="191">
        <f>Data!E38+Data!BA38</f>
        <v>27697.100000000002</v>
      </c>
      <c r="K32" s="160">
        <f t="shared" si="9"/>
        <v>124593.95000000001</v>
      </c>
      <c r="L32" s="86"/>
      <c r="M32" s="232"/>
      <c r="N32" s="232"/>
      <c r="O32" s="232"/>
    </row>
    <row r="33" spans="1:14" x14ac:dyDescent="0.2">
      <c r="A33" s="125" t="s">
        <v>91</v>
      </c>
      <c r="B33" s="128">
        <f>SUM(B21:B32)</f>
        <v>153338.39000000001</v>
      </c>
      <c r="C33" s="128">
        <f>SUM(C21:C32)</f>
        <v>-280.89999999999998</v>
      </c>
      <c r="D33" s="128">
        <f>SUM(D21:D32)</f>
        <v>153057.49</v>
      </c>
      <c r="G33" s="131"/>
      <c r="H33" s="125" t="s">
        <v>91</v>
      </c>
      <c r="I33" s="128">
        <f>SUM(I21:I32)</f>
        <v>165743.73000000001</v>
      </c>
      <c r="J33" s="128">
        <f>SUM(J21:J32)</f>
        <v>290337.68</v>
      </c>
      <c r="K33" s="161">
        <f>K32</f>
        <v>124593.95000000001</v>
      </c>
      <c r="L33" s="143"/>
      <c r="M33" s="146"/>
      <c r="N33" s="146"/>
    </row>
    <row r="34" spans="1:14" x14ac:dyDescent="0.2">
      <c r="B34" s="84"/>
      <c r="C34" s="84"/>
      <c r="D34" s="84"/>
      <c r="E34" s="84"/>
      <c r="F34" s="84"/>
      <c r="G34" s="120"/>
      <c r="H34" s="121"/>
      <c r="I34" s="145"/>
      <c r="J34" s="145"/>
      <c r="K34" s="145"/>
      <c r="L34" s="233"/>
      <c r="M34" s="234"/>
      <c r="N34" s="234"/>
    </row>
    <row r="35" spans="1:14" x14ac:dyDescent="0.2">
      <c r="B35" s="84"/>
      <c r="C35" s="84"/>
      <c r="D35" s="84"/>
      <c r="E35" s="84"/>
      <c r="F35" s="84"/>
      <c r="G35" s="120"/>
      <c r="H35" s="121"/>
      <c r="I35" s="145"/>
      <c r="J35" s="145"/>
      <c r="K35" s="145"/>
      <c r="L35" s="233"/>
      <c r="M35" s="234"/>
      <c r="N35" s="234"/>
    </row>
    <row r="36" spans="1:14" ht="12" customHeight="1" x14ac:dyDescent="0.2"/>
    <row r="37" spans="1:14" ht="15.75" x14ac:dyDescent="0.25">
      <c r="A37" s="119" t="s">
        <v>115</v>
      </c>
      <c r="H37" s="119" t="s">
        <v>116</v>
      </c>
      <c r="I37" s="82"/>
      <c r="J37" s="82"/>
      <c r="K37" s="82"/>
      <c r="L37" s="82"/>
    </row>
    <row r="38" spans="1:14" x14ac:dyDescent="0.2">
      <c r="H38" s="121"/>
      <c r="I38" s="82"/>
      <c r="J38" s="82"/>
      <c r="K38" s="82"/>
      <c r="L38" s="82"/>
    </row>
    <row r="39" spans="1:14" s="124" customFormat="1" ht="26.25" thickBot="1" x14ac:dyDescent="0.25">
      <c r="A39" s="122"/>
      <c r="B39" s="123" t="s">
        <v>80</v>
      </c>
      <c r="C39" s="123" t="s">
        <v>81</v>
      </c>
      <c r="D39" s="123" t="s">
        <v>82</v>
      </c>
      <c r="E39" s="123" t="s">
        <v>83</v>
      </c>
      <c r="F39" s="123" t="s">
        <v>84</v>
      </c>
      <c r="G39" s="123"/>
      <c r="H39" s="122"/>
      <c r="I39" s="123" t="s">
        <v>96</v>
      </c>
      <c r="J39" s="123" t="s">
        <v>88</v>
      </c>
      <c r="K39" s="123" t="s">
        <v>97</v>
      </c>
      <c r="L39" s="123" t="s">
        <v>98</v>
      </c>
      <c r="M39" s="123" t="s">
        <v>93</v>
      </c>
    </row>
    <row r="40" spans="1:14" x14ac:dyDescent="0.2">
      <c r="A40" s="121">
        <v>43831</v>
      </c>
      <c r="B40" s="111">
        <f>Data!AR27</f>
        <v>30</v>
      </c>
      <c r="C40" s="112">
        <f>Data!AS27</f>
        <v>4</v>
      </c>
      <c r="D40" s="112">
        <f>Data!AT27</f>
        <v>1</v>
      </c>
      <c r="E40" s="112">
        <f>Data!AU27</f>
        <v>9</v>
      </c>
      <c r="F40" s="113">
        <f>Data!AV27</f>
        <v>44</v>
      </c>
      <c r="H40" s="121">
        <v>43831</v>
      </c>
      <c r="I40" s="104">
        <f>Data!BB27</f>
        <v>3038.5299999999997</v>
      </c>
      <c r="J40" s="195">
        <f>Data!BC27</f>
        <v>0</v>
      </c>
      <c r="K40" s="114">
        <f>Data!BD27</f>
        <v>3038.5299999999997</v>
      </c>
      <c r="L40" s="114">
        <f>Data!AQ27</f>
        <v>1404.4</v>
      </c>
      <c r="M40" s="115">
        <f t="shared" ref="M40:M45" si="10">L40/I40</f>
        <v>0.4621971808736462</v>
      </c>
    </row>
    <row r="41" spans="1:14" x14ac:dyDescent="0.2">
      <c r="A41" s="121">
        <f>31+A40</f>
        <v>43862</v>
      </c>
      <c r="B41" s="101">
        <f>Data!AR28</f>
        <v>28</v>
      </c>
      <c r="C41" s="102">
        <f>Data!AS28</f>
        <v>4</v>
      </c>
      <c r="D41" s="102">
        <f>Data!AT28</f>
        <v>1</v>
      </c>
      <c r="E41" s="102">
        <f>Data!AU28</f>
        <v>9</v>
      </c>
      <c r="F41" s="103">
        <f>Data!AV28</f>
        <v>42</v>
      </c>
      <c r="H41" s="121">
        <f>31+H40</f>
        <v>43862</v>
      </c>
      <c r="I41" s="107">
        <f>Data!BB28</f>
        <v>2958.9299999999994</v>
      </c>
      <c r="J41" s="187">
        <f>Data!BC28</f>
        <v>0</v>
      </c>
      <c r="K41" s="83">
        <f>Data!BD28</f>
        <v>2958.9299999999994</v>
      </c>
      <c r="L41" s="83">
        <f>Data!AQ28</f>
        <v>2557</v>
      </c>
      <c r="M41" s="116">
        <f t="shared" si="10"/>
        <v>0.86416373486361642</v>
      </c>
    </row>
    <row r="42" spans="1:14" x14ac:dyDescent="0.2">
      <c r="A42" s="121">
        <f t="shared" ref="A42:A51" si="11">31+A41</f>
        <v>43893</v>
      </c>
      <c r="B42" s="101">
        <f>Data!AR29</f>
        <v>28</v>
      </c>
      <c r="C42" s="102">
        <f>Data!AS29</f>
        <v>4</v>
      </c>
      <c r="D42" s="102">
        <f>Data!AT29</f>
        <v>1</v>
      </c>
      <c r="E42" s="102">
        <f>Data!AU29</f>
        <v>8</v>
      </c>
      <c r="F42" s="103">
        <f>Data!AV29</f>
        <v>41</v>
      </c>
      <c r="H42" s="121">
        <f t="shared" ref="H42:H51" si="12">31+H41</f>
        <v>43893</v>
      </c>
      <c r="I42" s="107">
        <f>Data!BB29</f>
        <v>2801.04</v>
      </c>
      <c r="J42" s="187">
        <f>Data!BC29</f>
        <v>0</v>
      </c>
      <c r="K42" s="83">
        <f>Data!BD29</f>
        <v>2801.04</v>
      </c>
      <c r="L42" s="83">
        <f>Data!AQ29</f>
        <v>2211.84</v>
      </c>
      <c r="M42" s="116">
        <f t="shared" si="10"/>
        <v>0.78964955873532694</v>
      </c>
    </row>
    <row r="43" spans="1:14" x14ac:dyDescent="0.2">
      <c r="A43" s="121">
        <f t="shared" si="11"/>
        <v>43924</v>
      </c>
      <c r="B43" s="101">
        <f>Data!AR30</f>
        <v>28</v>
      </c>
      <c r="C43" s="102">
        <f>Data!AS30</f>
        <v>4</v>
      </c>
      <c r="D43" s="102">
        <f>Data!AT30</f>
        <v>2</v>
      </c>
      <c r="E43" s="102">
        <f>Data!AU30</f>
        <v>8</v>
      </c>
      <c r="F43" s="103">
        <f>Data!AV30</f>
        <v>42</v>
      </c>
      <c r="H43" s="121">
        <f t="shared" si="12"/>
        <v>43924</v>
      </c>
      <c r="I43" s="107">
        <f>Data!BB30</f>
        <v>2904.72</v>
      </c>
      <c r="J43" s="187">
        <f>Data!BC30</f>
        <v>0</v>
      </c>
      <c r="K43" s="83">
        <f>Data!BD30</f>
        <v>2904.72</v>
      </c>
      <c r="L43" s="83">
        <f>Data!AQ30</f>
        <v>-1248.69</v>
      </c>
      <c r="M43" s="116">
        <f t="shared" si="10"/>
        <v>-0.4298830868379741</v>
      </c>
    </row>
    <row r="44" spans="1:14" x14ac:dyDescent="0.2">
      <c r="A44" s="121">
        <f t="shared" si="11"/>
        <v>43955</v>
      </c>
      <c r="B44" s="101">
        <f>Data!AR31</f>
        <v>28</v>
      </c>
      <c r="C44" s="102">
        <f>Data!AS31</f>
        <v>3</v>
      </c>
      <c r="D44" s="102">
        <f>Data!AT31</f>
        <v>2</v>
      </c>
      <c r="E44" s="102">
        <f>Data!AU31</f>
        <v>8</v>
      </c>
      <c r="F44" s="103">
        <f>Data!AV31</f>
        <v>41</v>
      </c>
      <c r="H44" s="121">
        <f t="shared" si="12"/>
        <v>43955</v>
      </c>
      <c r="I44" s="107">
        <f>Data!BB31</f>
        <v>2824.7599999999998</v>
      </c>
      <c r="J44" s="187">
        <f>Data!BC31</f>
        <v>0</v>
      </c>
      <c r="K44" s="83">
        <f>Data!BD31</f>
        <v>2824.7599999999998</v>
      </c>
      <c r="L44" s="83">
        <f>Data!AQ31</f>
        <v>0</v>
      </c>
      <c r="M44" s="116">
        <f t="shared" si="10"/>
        <v>0</v>
      </c>
    </row>
    <row r="45" spans="1:14" x14ac:dyDescent="0.2">
      <c r="A45" s="121">
        <f t="shared" si="11"/>
        <v>43986</v>
      </c>
      <c r="B45" s="101">
        <f>Data!AR32</f>
        <v>28</v>
      </c>
      <c r="C45" s="102">
        <f>Data!AS32</f>
        <v>3</v>
      </c>
      <c r="D45" s="102">
        <f>Data!AT32</f>
        <v>2</v>
      </c>
      <c r="E45" s="102">
        <f>Data!AU32</f>
        <v>9</v>
      </c>
      <c r="F45" s="103">
        <f>Data!AV32</f>
        <v>42</v>
      </c>
      <c r="H45" s="121">
        <f t="shared" si="12"/>
        <v>43986</v>
      </c>
      <c r="I45" s="107">
        <f>Data!BB32</f>
        <v>2982.6499999999996</v>
      </c>
      <c r="J45" s="187">
        <f>Data!BC32</f>
        <v>0</v>
      </c>
      <c r="K45" s="83">
        <f>Data!BD32</f>
        <v>2982.6499999999996</v>
      </c>
      <c r="L45" s="83">
        <f>Data!AQ32</f>
        <v>281.35000000000002</v>
      </c>
      <c r="M45" s="116">
        <f t="shared" si="10"/>
        <v>9.4328868623539494E-2</v>
      </c>
    </row>
    <row r="46" spans="1:14" x14ac:dyDescent="0.2">
      <c r="A46" s="121">
        <f t="shared" si="11"/>
        <v>44017</v>
      </c>
      <c r="B46" s="101">
        <f>Data!AR33</f>
        <v>28</v>
      </c>
      <c r="C46" s="102">
        <f>Data!AS33</f>
        <v>3</v>
      </c>
      <c r="D46" s="102">
        <f>Data!AT33</f>
        <v>2</v>
      </c>
      <c r="E46" s="102">
        <f>Data!AU33</f>
        <v>9</v>
      </c>
      <c r="F46" s="103">
        <f>Data!AV33</f>
        <v>42</v>
      </c>
      <c r="H46" s="121">
        <f t="shared" si="12"/>
        <v>44017</v>
      </c>
      <c r="I46" s="107">
        <f>Data!BB33</f>
        <v>2982.6499999999996</v>
      </c>
      <c r="J46" s="187">
        <f>Data!BC33</f>
        <v>0</v>
      </c>
      <c r="K46" s="83">
        <f>Data!BD33</f>
        <v>2982.6499999999996</v>
      </c>
      <c r="L46" s="83">
        <f>Data!AQ33</f>
        <v>1369</v>
      </c>
      <c r="M46" s="116">
        <f t="shared" ref="M46:M52" si="13">L46/I46</f>
        <v>0.45898781285098827</v>
      </c>
    </row>
    <row r="47" spans="1:14" x14ac:dyDescent="0.2">
      <c r="A47" s="121">
        <f t="shared" si="11"/>
        <v>44048</v>
      </c>
      <c r="B47" s="101">
        <f>Data!AR34</f>
        <v>30</v>
      </c>
      <c r="C47" s="102">
        <f>Data!AS34</f>
        <v>3</v>
      </c>
      <c r="D47" s="102">
        <f>Data!AT34</f>
        <v>2</v>
      </c>
      <c r="E47" s="102">
        <f>Data!AU34</f>
        <v>8</v>
      </c>
      <c r="F47" s="103">
        <f>Data!AV34</f>
        <v>43</v>
      </c>
      <c r="H47" s="121">
        <f t="shared" si="12"/>
        <v>44048</v>
      </c>
      <c r="I47" s="107">
        <f>Data!BB34</f>
        <v>2904.36</v>
      </c>
      <c r="J47" s="187">
        <f>Data!BC34</f>
        <v>0</v>
      </c>
      <c r="K47" s="83">
        <f>Data!BD34</f>
        <v>2904.36</v>
      </c>
      <c r="L47" s="83">
        <f>Data!AQ34</f>
        <v>567</v>
      </c>
      <c r="M47" s="116">
        <f t="shared" si="13"/>
        <v>0.19522373259513282</v>
      </c>
    </row>
    <row r="48" spans="1:14" x14ac:dyDescent="0.2">
      <c r="A48" s="121">
        <f t="shared" si="11"/>
        <v>44079</v>
      </c>
      <c r="B48" s="101">
        <f>Data!AR35</f>
        <v>30</v>
      </c>
      <c r="C48" s="102">
        <f>Data!AS35</f>
        <v>3</v>
      </c>
      <c r="D48" s="102">
        <f>Data!AT35</f>
        <v>2</v>
      </c>
      <c r="E48" s="102">
        <f>Data!AU35</f>
        <v>9</v>
      </c>
      <c r="F48" s="103">
        <f>Data!AV35</f>
        <v>44</v>
      </c>
      <c r="H48" s="121">
        <f t="shared" si="12"/>
        <v>44079</v>
      </c>
      <c r="I48" s="107">
        <f>Data!BB35</f>
        <v>3062.25</v>
      </c>
      <c r="J48" s="187">
        <f>Data!BC35</f>
        <v>0</v>
      </c>
      <c r="K48" s="83">
        <f>Data!BD35</f>
        <v>3062.25</v>
      </c>
      <c r="L48" s="83">
        <f>Data!AQ35</f>
        <v>702</v>
      </c>
      <c r="M48" s="116">
        <f t="shared" si="13"/>
        <v>0.22924320352681851</v>
      </c>
    </row>
    <row r="49" spans="1:13" x14ac:dyDescent="0.2">
      <c r="A49" s="121">
        <f t="shared" si="11"/>
        <v>44110</v>
      </c>
      <c r="B49" s="101">
        <f>Data!AR36</f>
        <v>32</v>
      </c>
      <c r="C49" s="102">
        <f>Data!AS36</f>
        <v>3</v>
      </c>
      <c r="D49" s="102">
        <f>Data!AT36</f>
        <v>2</v>
      </c>
      <c r="E49" s="102">
        <f>Data!AU36</f>
        <v>10</v>
      </c>
      <c r="F49" s="103">
        <f>Data!AV36</f>
        <v>47</v>
      </c>
      <c r="H49" s="121">
        <f t="shared" si="12"/>
        <v>44110</v>
      </c>
      <c r="I49" s="107">
        <f>Data!BB36</f>
        <v>3299.74</v>
      </c>
      <c r="J49" s="187">
        <f>Data!BC36</f>
        <v>0</v>
      </c>
      <c r="K49" s="83">
        <f>Data!BD36</f>
        <v>3299.74</v>
      </c>
      <c r="L49" s="83">
        <f>Data!AQ36</f>
        <v>1080.3599999999999</v>
      </c>
      <c r="M49" s="116">
        <f t="shared" si="13"/>
        <v>0.32740761393321899</v>
      </c>
    </row>
    <row r="50" spans="1:13" x14ac:dyDescent="0.2">
      <c r="A50" s="121">
        <f t="shared" si="11"/>
        <v>44141</v>
      </c>
      <c r="B50" s="101">
        <f>Data!AR37</f>
        <v>33</v>
      </c>
      <c r="C50" s="102">
        <f>Data!AS37</f>
        <v>3</v>
      </c>
      <c r="D50" s="102">
        <f>Data!AT37</f>
        <v>2</v>
      </c>
      <c r="E50" s="102">
        <f>Data!AU37</f>
        <v>11</v>
      </c>
      <c r="F50" s="103">
        <f>Data!AV37</f>
        <v>49</v>
      </c>
      <c r="H50" s="121">
        <f t="shared" si="12"/>
        <v>44141</v>
      </c>
      <c r="I50" s="107">
        <f>Data!BB37</f>
        <v>3497.43</v>
      </c>
      <c r="J50" s="187">
        <f>Data!BC37</f>
        <v>0</v>
      </c>
      <c r="K50" s="83">
        <f>Data!BD37</f>
        <v>3497.43</v>
      </c>
      <c r="L50" s="83">
        <f>Data!AQ37</f>
        <v>1007</v>
      </c>
      <c r="M50" s="116">
        <f t="shared" si="13"/>
        <v>0.28792570544657076</v>
      </c>
    </row>
    <row r="51" spans="1:13" ht="13.5" thickBot="1" x14ac:dyDescent="0.25">
      <c r="A51" s="121">
        <f t="shared" si="11"/>
        <v>44172</v>
      </c>
      <c r="B51" s="137">
        <f>Data!AR38</f>
        <v>34</v>
      </c>
      <c r="C51" s="138">
        <f>Data!AS38</f>
        <v>3</v>
      </c>
      <c r="D51" s="138">
        <f>Data!AT38</f>
        <v>2</v>
      </c>
      <c r="E51" s="138">
        <f>Data!AU38</f>
        <v>11</v>
      </c>
      <c r="F51" s="139">
        <f>Data!AV38</f>
        <v>50</v>
      </c>
      <c r="H51" s="121">
        <f t="shared" si="12"/>
        <v>44172</v>
      </c>
      <c r="I51" s="140">
        <f>Data!BB38</f>
        <v>3537.23</v>
      </c>
      <c r="J51" s="196">
        <f>Data!BC38</f>
        <v>0</v>
      </c>
      <c r="K51" s="147">
        <f>Data!BD38</f>
        <v>3537.23</v>
      </c>
      <c r="L51" s="147">
        <f>Data!AQ38</f>
        <v>2754.98</v>
      </c>
      <c r="M51" s="162">
        <f t="shared" si="13"/>
        <v>0.77885237883880887</v>
      </c>
    </row>
    <row r="52" spans="1:13" s="131" customFormat="1" x14ac:dyDescent="0.2">
      <c r="A52" s="125" t="s">
        <v>90</v>
      </c>
      <c r="B52" s="126">
        <f>AVERAGE(B40:B51)</f>
        <v>29.75</v>
      </c>
      <c r="C52" s="126">
        <f>AVERAGE(C40:C51)</f>
        <v>3.3333333333333335</v>
      </c>
      <c r="D52" s="126">
        <f>AVERAGE(D40:D51)</f>
        <v>1.75</v>
      </c>
      <c r="E52" s="126">
        <f>AVERAGE(E40:E51)</f>
        <v>9.0833333333333339</v>
      </c>
      <c r="F52" s="126">
        <f>AVERAGE(F40:F51)</f>
        <v>43.916666666666664</v>
      </c>
      <c r="H52" s="125" t="s">
        <v>91</v>
      </c>
      <c r="I52" s="128">
        <f>SUM(I40:I51)</f>
        <v>36794.29</v>
      </c>
      <c r="J52" s="161">
        <f>AVERAGE(J40:J51)</f>
        <v>0</v>
      </c>
      <c r="K52" s="132">
        <f>SUM(K40:K51)</f>
        <v>36794.29</v>
      </c>
      <c r="L52" s="132">
        <f>SUM(L40:L51)</f>
        <v>12686.24</v>
      </c>
      <c r="M52" s="133">
        <f t="shared" si="13"/>
        <v>0.34478828100773246</v>
      </c>
    </row>
    <row r="54" spans="1:13" ht="15.75" x14ac:dyDescent="0.25">
      <c r="A54" s="119" t="s">
        <v>117</v>
      </c>
      <c r="H54" s="119" t="s">
        <v>118</v>
      </c>
      <c r="I54" s="82"/>
      <c r="J54" s="82"/>
      <c r="K54" s="82"/>
      <c r="L54" s="82"/>
    </row>
    <row r="55" spans="1:13" x14ac:dyDescent="0.2">
      <c r="H55" s="121"/>
      <c r="I55" s="82"/>
      <c r="J55" s="82"/>
      <c r="K55" s="82"/>
      <c r="L55" s="82"/>
    </row>
    <row r="56" spans="1:13" s="124" customFormat="1" ht="26.25" thickBot="1" x14ac:dyDescent="0.25">
      <c r="A56" s="122"/>
      <c r="B56" s="123" t="s">
        <v>80</v>
      </c>
      <c r="C56" s="123" t="s">
        <v>81</v>
      </c>
      <c r="D56" s="123" t="s">
        <v>82</v>
      </c>
      <c r="E56" s="123" t="s">
        <v>83</v>
      </c>
      <c r="F56" s="123" t="s">
        <v>84</v>
      </c>
      <c r="G56" s="123"/>
      <c r="H56" s="122"/>
      <c r="I56" s="123" t="s">
        <v>96</v>
      </c>
      <c r="J56" s="123" t="s">
        <v>88</v>
      </c>
      <c r="K56" s="123" t="s">
        <v>97</v>
      </c>
      <c r="L56" s="123" t="s">
        <v>98</v>
      </c>
      <c r="M56" s="123" t="s">
        <v>93</v>
      </c>
    </row>
    <row r="57" spans="1:13" x14ac:dyDescent="0.2">
      <c r="A57" s="121">
        <v>43831</v>
      </c>
      <c r="B57" s="111">
        <f>Data!BN27</f>
        <v>25</v>
      </c>
      <c r="C57" s="112">
        <f>Data!BO27</f>
        <v>4</v>
      </c>
      <c r="D57" s="112">
        <f>Data!BP27</f>
        <v>1</v>
      </c>
      <c r="E57" s="112">
        <f>Data!BQ27</f>
        <v>8</v>
      </c>
      <c r="F57" s="113">
        <f>Data!BU27</f>
        <v>38</v>
      </c>
      <c r="H57" s="121">
        <v>43831</v>
      </c>
      <c r="I57" s="104">
        <f>Data!BR27</f>
        <v>367.11</v>
      </c>
      <c r="J57" s="117">
        <f>Data!BS27</f>
        <v>0</v>
      </c>
      <c r="K57" s="114">
        <f>Data!BT27</f>
        <v>367.11</v>
      </c>
      <c r="L57" s="114">
        <f>Data!BM27</f>
        <v>60</v>
      </c>
      <c r="M57" s="115">
        <f t="shared" ref="M57:M62" si="14">L57/I57</f>
        <v>0.16343875132793984</v>
      </c>
    </row>
    <row r="58" spans="1:13" x14ac:dyDescent="0.2">
      <c r="A58" s="121">
        <f>31+A57</f>
        <v>43862</v>
      </c>
      <c r="B58" s="101">
        <f>Data!BN28</f>
        <v>24</v>
      </c>
      <c r="C58" s="102">
        <f>Data!BO28</f>
        <v>4</v>
      </c>
      <c r="D58" s="102">
        <f>Data!BP28</f>
        <v>1</v>
      </c>
      <c r="E58" s="102">
        <f>Data!BQ28</f>
        <v>9</v>
      </c>
      <c r="F58" s="103">
        <f>Data!BU28</f>
        <v>38</v>
      </c>
      <c r="H58" s="121">
        <f>31+H57</f>
        <v>43862</v>
      </c>
      <c r="I58" s="107">
        <f>Data!BR28</f>
        <v>378.90000000000003</v>
      </c>
      <c r="J58" s="118">
        <f>Data!BS28</f>
        <v>0</v>
      </c>
      <c r="K58" s="83">
        <f>Data!BT28</f>
        <v>378.90000000000003</v>
      </c>
      <c r="L58" s="83">
        <f>Data!BM28</f>
        <v>0</v>
      </c>
      <c r="M58" s="116">
        <f t="shared" si="14"/>
        <v>0</v>
      </c>
    </row>
    <row r="59" spans="1:13" x14ac:dyDescent="0.2">
      <c r="A59" s="121">
        <f t="shared" ref="A59:A68" si="15">31+A58</f>
        <v>43893</v>
      </c>
      <c r="B59" s="101">
        <f>Data!BN29</f>
        <v>25</v>
      </c>
      <c r="C59" s="102">
        <f>Data!BO29</f>
        <v>4</v>
      </c>
      <c r="D59" s="102">
        <f>Data!BP29</f>
        <v>1</v>
      </c>
      <c r="E59" s="102">
        <f>Data!BQ29</f>
        <v>9</v>
      </c>
      <c r="F59" s="103">
        <f>Data!BU29</f>
        <v>39</v>
      </c>
      <c r="H59" s="121">
        <f t="shared" ref="H59:H68" si="16">31+H58</f>
        <v>43893</v>
      </c>
      <c r="I59" s="107">
        <f>Data!BR29</f>
        <v>385.38</v>
      </c>
      <c r="J59" s="118">
        <f>Data!BS29</f>
        <v>0</v>
      </c>
      <c r="K59" s="83">
        <f>Data!BT29</f>
        <v>385.38</v>
      </c>
      <c r="L59" s="83">
        <f>Data!BM29</f>
        <v>631</v>
      </c>
      <c r="M59" s="116">
        <f t="shared" si="14"/>
        <v>1.6373449582230526</v>
      </c>
    </row>
    <row r="60" spans="1:13" x14ac:dyDescent="0.2">
      <c r="A60" s="121">
        <f t="shared" si="15"/>
        <v>43924</v>
      </c>
      <c r="B60" s="101">
        <f>Data!BN30</f>
        <v>26</v>
      </c>
      <c r="C60" s="102">
        <f>Data!BO30</f>
        <v>4</v>
      </c>
      <c r="D60" s="102">
        <f>Data!BP30</f>
        <v>2</v>
      </c>
      <c r="E60" s="102">
        <f>Data!BQ30</f>
        <v>8</v>
      </c>
      <c r="F60" s="103">
        <f>Data!BU30</f>
        <v>40</v>
      </c>
      <c r="H60" s="121">
        <f t="shared" si="16"/>
        <v>43924</v>
      </c>
      <c r="I60" s="107">
        <f>Data!BR30</f>
        <v>385.46000000000004</v>
      </c>
      <c r="J60" s="118">
        <f>Data!BS30</f>
        <v>0</v>
      </c>
      <c r="K60" s="83">
        <f>Data!BT30</f>
        <v>385.46000000000004</v>
      </c>
      <c r="L60" s="83">
        <f>Data!BM30</f>
        <v>0</v>
      </c>
      <c r="M60" s="116">
        <f t="shared" si="14"/>
        <v>0</v>
      </c>
    </row>
    <row r="61" spans="1:13" x14ac:dyDescent="0.2">
      <c r="A61" s="121">
        <f t="shared" si="15"/>
        <v>43955</v>
      </c>
      <c r="B61" s="101">
        <f>Data!BN31</f>
        <v>26</v>
      </c>
      <c r="C61" s="102">
        <f>Data!BO31</f>
        <v>3</v>
      </c>
      <c r="D61" s="102">
        <f>Data!BP31</f>
        <v>2</v>
      </c>
      <c r="E61" s="102">
        <f>Data!BQ31</f>
        <v>8</v>
      </c>
      <c r="F61" s="103">
        <f>Data!BU31</f>
        <v>39</v>
      </c>
      <c r="H61" s="121">
        <f t="shared" si="16"/>
        <v>43955</v>
      </c>
      <c r="I61" s="107">
        <f>Data!BR31</f>
        <v>373.69000000000005</v>
      </c>
      <c r="J61" s="118">
        <f>Data!BS31</f>
        <v>0</v>
      </c>
      <c r="K61" s="83">
        <f>Data!BT31</f>
        <v>373.69000000000005</v>
      </c>
      <c r="L61" s="83">
        <f>Data!BM31</f>
        <v>0</v>
      </c>
      <c r="M61" s="116">
        <f t="shared" si="14"/>
        <v>0</v>
      </c>
    </row>
    <row r="62" spans="1:13" x14ac:dyDescent="0.2">
      <c r="A62" s="121">
        <f t="shared" si="15"/>
        <v>43986</v>
      </c>
      <c r="B62" s="101">
        <f>Data!BN32</f>
        <v>26</v>
      </c>
      <c r="C62" s="102">
        <f>Data!BO32</f>
        <v>3</v>
      </c>
      <c r="D62" s="102">
        <f>Data!BP32</f>
        <v>2</v>
      </c>
      <c r="E62" s="102">
        <f>Data!BQ32</f>
        <v>9</v>
      </c>
      <c r="F62" s="103">
        <f>Data!BU32</f>
        <v>40</v>
      </c>
      <c r="H62" s="121">
        <f t="shared" si="16"/>
        <v>43986</v>
      </c>
      <c r="I62" s="107">
        <f>Data!BR32</f>
        <v>391.96000000000004</v>
      </c>
      <c r="J62" s="118">
        <f>Data!BS32</f>
        <v>0</v>
      </c>
      <c r="K62" s="83">
        <f>Data!BT32</f>
        <v>391.96000000000004</v>
      </c>
      <c r="L62" s="83">
        <f>Data!BM32</f>
        <v>0</v>
      </c>
      <c r="M62" s="116">
        <f t="shared" si="14"/>
        <v>0</v>
      </c>
    </row>
    <row r="63" spans="1:13" x14ac:dyDescent="0.2">
      <c r="A63" s="121">
        <f t="shared" si="15"/>
        <v>44017</v>
      </c>
      <c r="B63" s="101">
        <f>Data!BN33</f>
        <v>26</v>
      </c>
      <c r="C63" s="102">
        <f>Data!BO33</f>
        <v>3</v>
      </c>
      <c r="D63" s="102">
        <f>Data!BP33</f>
        <v>2</v>
      </c>
      <c r="E63" s="102">
        <f>Data!BQ33</f>
        <v>9</v>
      </c>
      <c r="F63" s="103">
        <f>Data!BU33</f>
        <v>40</v>
      </c>
      <c r="H63" s="121">
        <f t="shared" si="16"/>
        <v>44017</v>
      </c>
      <c r="I63" s="107">
        <f>Data!BR33</f>
        <v>391.96000000000004</v>
      </c>
      <c r="J63" s="118">
        <f>Data!BS33</f>
        <v>0</v>
      </c>
      <c r="K63" s="83">
        <f>Data!BT33</f>
        <v>391.96000000000004</v>
      </c>
      <c r="L63" s="83">
        <f>Data!BM33</f>
        <v>0</v>
      </c>
      <c r="M63" s="116">
        <f t="shared" ref="M63:M69" si="17">L63/I63</f>
        <v>0</v>
      </c>
    </row>
    <row r="64" spans="1:13" x14ac:dyDescent="0.2">
      <c r="A64" s="121">
        <f t="shared" si="15"/>
        <v>44048</v>
      </c>
      <c r="B64" s="101">
        <f>Data!BN34</f>
        <v>28</v>
      </c>
      <c r="C64" s="102">
        <f>Data!BO34</f>
        <v>3</v>
      </c>
      <c r="D64" s="102">
        <f>Data!BP34</f>
        <v>2</v>
      </c>
      <c r="E64" s="102">
        <f>Data!BQ34</f>
        <v>8</v>
      </c>
      <c r="F64" s="103">
        <f>Data!BU34</f>
        <v>41</v>
      </c>
      <c r="H64" s="121">
        <f t="shared" si="16"/>
        <v>44048</v>
      </c>
      <c r="I64" s="107">
        <f>Data!BR34</f>
        <v>386.65</v>
      </c>
      <c r="J64" s="118">
        <f>Data!BS34</f>
        <v>0</v>
      </c>
      <c r="K64" s="83">
        <f>Data!BT34</f>
        <v>386.65</v>
      </c>
      <c r="L64" s="83">
        <f>Data!BM34</f>
        <v>0</v>
      </c>
      <c r="M64" s="116">
        <f t="shared" si="17"/>
        <v>0</v>
      </c>
    </row>
    <row r="65" spans="1:13" x14ac:dyDescent="0.2">
      <c r="A65" s="121">
        <f t="shared" si="15"/>
        <v>44079</v>
      </c>
      <c r="B65" s="101">
        <f>Data!BN35</f>
        <v>28</v>
      </c>
      <c r="C65" s="102">
        <f>Data!BO35</f>
        <v>3</v>
      </c>
      <c r="D65" s="102">
        <f>Data!BP35</f>
        <v>2</v>
      </c>
      <c r="E65" s="102">
        <f>Data!BQ35</f>
        <v>9</v>
      </c>
      <c r="F65" s="103">
        <f>Data!BU35</f>
        <v>42</v>
      </c>
      <c r="H65" s="121">
        <f t="shared" si="16"/>
        <v>44079</v>
      </c>
      <c r="I65" s="107">
        <f>Data!BR35</f>
        <v>404.92</v>
      </c>
      <c r="J65" s="118">
        <f>Data!BS35</f>
        <v>0</v>
      </c>
      <c r="K65" s="83">
        <f>Data!BT35</f>
        <v>404.92</v>
      </c>
      <c r="L65" s="83">
        <f>Data!BM35</f>
        <v>0</v>
      </c>
      <c r="M65" s="116">
        <f t="shared" si="17"/>
        <v>0</v>
      </c>
    </row>
    <row r="66" spans="1:13" x14ac:dyDescent="0.2">
      <c r="A66" s="121">
        <f t="shared" si="15"/>
        <v>44110</v>
      </c>
      <c r="B66" s="101">
        <f>Data!BN36</f>
        <v>30</v>
      </c>
      <c r="C66" s="102">
        <f>Data!BO36</f>
        <v>3</v>
      </c>
      <c r="D66" s="102">
        <f>Data!BP36</f>
        <v>2</v>
      </c>
      <c r="E66" s="102">
        <f>Data!BQ36</f>
        <v>10</v>
      </c>
      <c r="F66" s="103">
        <f>Data!BU36</f>
        <v>45</v>
      </c>
      <c r="H66" s="121">
        <f t="shared" si="16"/>
        <v>44110</v>
      </c>
      <c r="I66" s="107">
        <f>Data!BR36</f>
        <v>436.15</v>
      </c>
      <c r="J66" s="118">
        <f>Data!BS36</f>
        <v>0</v>
      </c>
      <c r="K66" s="83">
        <f>Data!BT36</f>
        <v>436.15</v>
      </c>
      <c r="L66" s="83">
        <f>Data!BM36</f>
        <v>0</v>
      </c>
      <c r="M66" s="116">
        <f t="shared" si="17"/>
        <v>0</v>
      </c>
    </row>
    <row r="67" spans="1:13" x14ac:dyDescent="0.2">
      <c r="A67" s="121">
        <f t="shared" si="15"/>
        <v>44141</v>
      </c>
      <c r="B67" s="101">
        <f>Data!BN37</f>
        <v>31</v>
      </c>
      <c r="C67" s="102">
        <f>Data!BO37</f>
        <v>3</v>
      </c>
      <c r="D67" s="102">
        <f>Data!BP37</f>
        <v>2</v>
      </c>
      <c r="E67" s="102">
        <f>Data!BQ37</f>
        <v>11</v>
      </c>
      <c r="F67" s="103">
        <f>Data!BU37</f>
        <v>47</v>
      </c>
      <c r="H67" s="121">
        <f t="shared" si="16"/>
        <v>44141</v>
      </c>
      <c r="I67" s="107">
        <f>Data!BR37</f>
        <v>460.9</v>
      </c>
      <c r="J67" s="118">
        <f>Data!BS37</f>
        <v>0</v>
      </c>
      <c r="K67" s="83">
        <f>Data!BT37</f>
        <v>460.9</v>
      </c>
      <c r="L67" s="83">
        <f>Data!BM37</f>
        <v>0</v>
      </c>
      <c r="M67" s="116">
        <f t="shared" si="17"/>
        <v>0</v>
      </c>
    </row>
    <row r="68" spans="1:13" ht="13.5" thickBot="1" x14ac:dyDescent="0.25">
      <c r="A68" s="121">
        <f t="shared" si="15"/>
        <v>44172</v>
      </c>
      <c r="B68" s="137">
        <f>Data!BN38</f>
        <v>32</v>
      </c>
      <c r="C68" s="138">
        <f>Data!BO38</f>
        <v>3</v>
      </c>
      <c r="D68" s="138">
        <f>Data!BP38</f>
        <v>2</v>
      </c>
      <c r="E68" s="138">
        <f>Data!BQ38</f>
        <v>11</v>
      </c>
      <c r="F68" s="139">
        <f>Data!BU38</f>
        <v>48</v>
      </c>
      <c r="H68" s="121">
        <f t="shared" si="16"/>
        <v>44172</v>
      </c>
      <c r="I68" s="140">
        <f>Data!BR38</f>
        <v>467.38</v>
      </c>
      <c r="J68" s="163">
        <f>Data!BS38</f>
        <v>0</v>
      </c>
      <c r="K68" s="147">
        <f>Data!BT38</f>
        <v>467.38</v>
      </c>
      <c r="L68" s="147">
        <f>Data!BM38</f>
        <v>0</v>
      </c>
      <c r="M68" s="162">
        <f t="shared" si="17"/>
        <v>0</v>
      </c>
    </row>
    <row r="69" spans="1:13" s="131" customFormat="1" x14ac:dyDescent="0.2">
      <c r="A69" s="125" t="s">
        <v>90</v>
      </c>
      <c r="B69" s="126">
        <f>AVERAGE(B57:B68)</f>
        <v>27.25</v>
      </c>
      <c r="C69" s="126">
        <f>AVERAGE(C57:C68)</f>
        <v>3.3333333333333335</v>
      </c>
      <c r="D69" s="126">
        <f>AVERAGE(D57:D68)</f>
        <v>1.75</v>
      </c>
      <c r="E69" s="126">
        <f>AVERAGE(E57:E68)</f>
        <v>9.0833333333333339</v>
      </c>
      <c r="F69" s="126">
        <f>AVERAGE(F57:F68)</f>
        <v>41.416666666666664</v>
      </c>
      <c r="H69" s="125" t="s">
        <v>91</v>
      </c>
      <c r="I69" s="128">
        <f>SUM(I57:I68)</f>
        <v>4830.46</v>
      </c>
      <c r="J69" s="134">
        <f>AVERAGE(J57:J68)</f>
        <v>0</v>
      </c>
      <c r="K69" s="132">
        <f>SUM(K57:K68)</f>
        <v>4830.46</v>
      </c>
      <c r="L69" s="132">
        <f>SUM(L57:L68)</f>
        <v>691</v>
      </c>
      <c r="M69" s="133">
        <f t="shared" si="17"/>
        <v>0.14305055833191871</v>
      </c>
    </row>
    <row r="71" spans="1:13" ht="15.75" x14ac:dyDescent="0.25">
      <c r="A71" s="119" t="s">
        <v>119</v>
      </c>
      <c r="H71" s="135" t="s">
        <v>120</v>
      </c>
    </row>
    <row r="73" spans="1:13" s="131" customFormat="1" ht="26.25" thickBot="1" x14ac:dyDescent="0.25">
      <c r="A73" s="122"/>
      <c r="B73" s="123" t="s">
        <v>70</v>
      </c>
      <c r="C73" s="123" t="s">
        <v>31</v>
      </c>
      <c r="D73" s="123" t="s">
        <v>32</v>
      </c>
      <c r="E73" s="123" t="s">
        <v>102</v>
      </c>
      <c r="F73" s="127"/>
      <c r="G73" s="127"/>
      <c r="H73" s="122"/>
      <c r="I73" s="123" t="s">
        <v>106</v>
      </c>
      <c r="J73" s="123" t="s">
        <v>108</v>
      </c>
      <c r="K73" s="123" t="s">
        <v>107</v>
      </c>
      <c r="L73" s="123" t="s">
        <v>109</v>
      </c>
      <c r="M73" s="136" t="s">
        <v>110</v>
      </c>
    </row>
    <row r="74" spans="1:13" x14ac:dyDescent="0.2">
      <c r="A74" s="121">
        <v>43831</v>
      </c>
      <c r="B74" s="104">
        <f>Data!CD27</f>
        <v>382.09000000000003</v>
      </c>
      <c r="C74" s="117">
        <f>Data!CE27</f>
        <v>813.1</v>
      </c>
      <c r="D74" s="105">
        <f>Data!CF27</f>
        <v>834.73</v>
      </c>
      <c r="E74" s="106">
        <f t="shared" ref="E74:E79" si="18">B74+C74+D74</f>
        <v>2029.92</v>
      </c>
      <c r="H74" s="121">
        <v>43831</v>
      </c>
      <c r="I74" s="104">
        <f t="shared" ref="I74:I85" si="19">O4</f>
        <v>36699.660000000003</v>
      </c>
      <c r="J74" s="117">
        <f t="shared" ref="J74:J79" si="20">K40</f>
        <v>3038.5299999999997</v>
      </c>
      <c r="K74" s="105">
        <f t="shared" ref="K74:K85" si="21">K57</f>
        <v>367.11</v>
      </c>
      <c r="L74" s="105">
        <f t="shared" ref="L74:L79" si="22">E74</f>
        <v>2029.92</v>
      </c>
      <c r="M74" s="106">
        <f t="shared" ref="M74:M79" si="23">SUM(I74:L74)</f>
        <v>42135.22</v>
      </c>
    </row>
    <row r="75" spans="1:13" x14ac:dyDescent="0.2">
      <c r="A75" s="121">
        <f>31+A74</f>
        <v>43862</v>
      </c>
      <c r="B75" s="107">
        <f>Data!CD28</f>
        <v>407.59000000000003</v>
      </c>
      <c r="C75" s="118">
        <f>Data!CE28</f>
        <v>767.75</v>
      </c>
      <c r="D75" s="84">
        <f>Data!CF28</f>
        <v>950.96</v>
      </c>
      <c r="E75" s="108">
        <f t="shared" si="18"/>
        <v>2126.3000000000002</v>
      </c>
      <c r="H75" s="121">
        <f>31+H74</f>
        <v>43862</v>
      </c>
      <c r="I75" s="107">
        <f t="shared" si="19"/>
        <v>35036.430000000008</v>
      </c>
      <c r="J75" s="118">
        <f t="shared" si="20"/>
        <v>2958.9299999999994</v>
      </c>
      <c r="K75" s="84">
        <f t="shared" si="21"/>
        <v>378.90000000000003</v>
      </c>
      <c r="L75" s="84">
        <f t="shared" si="22"/>
        <v>2126.3000000000002</v>
      </c>
      <c r="M75" s="108">
        <f t="shared" si="23"/>
        <v>40500.560000000012</v>
      </c>
    </row>
    <row r="76" spans="1:13" x14ac:dyDescent="0.2">
      <c r="A76" s="121">
        <f t="shared" ref="A76:A85" si="24">31+A75</f>
        <v>43893</v>
      </c>
      <c r="B76" s="107">
        <f>Data!CD29</f>
        <v>390.59000000000003</v>
      </c>
      <c r="C76" s="118">
        <f>Data!CE29</f>
        <v>707</v>
      </c>
      <c r="D76" s="84">
        <f>Data!CF29</f>
        <v>896.96</v>
      </c>
      <c r="E76" s="108">
        <f t="shared" si="18"/>
        <v>1994.5500000000002</v>
      </c>
      <c r="H76" s="121">
        <f t="shared" ref="H76:H85" si="25">31+H75</f>
        <v>43893</v>
      </c>
      <c r="I76" s="107">
        <f t="shared" si="19"/>
        <v>33426.840000000004</v>
      </c>
      <c r="J76" s="118">
        <f t="shared" si="20"/>
        <v>2801.04</v>
      </c>
      <c r="K76" s="84">
        <f t="shared" si="21"/>
        <v>385.38</v>
      </c>
      <c r="L76" s="84">
        <f t="shared" si="22"/>
        <v>1994.5500000000002</v>
      </c>
      <c r="M76" s="108">
        <f t="shared" si="23"/>
        <v>38607.810000000005</v>
      </c>
    </row>
    <row r="77" spans="1:13" x14ac:dyDescent="0.2">
      <c r="A77" s="121">
        <f t="shared" si="24"/>
        <v>43924</v>
      </c>
      <c r="B77" s="107">
        <f>Data!CD30</f>
        <v>484.09000000000003</v>
      </c>
      <c r="C77" s="118">
        <f>Data!CE30</f>
        <v>796.03</v>
      </c>
      <c r="D77" s="84">
        <f>Data!CF30</f>
        <v>1020.05</v>
      </c>
      <c r="E77" s="108">
        <f t="shared" si="18"/>
        <v>2300.17</v>
      </c>
      <c r="H77" s="121">
        <f t="shared" si="25"/>
        <v>43924</v>
      </c>
      <c r="I77" s="107">
        <f t="shared" si="19"/>
        <v>34447.32</v>
      </c>
      <c r="J77" s="118">
        <f t="shared" si="20"/>
        <v>2904.72</v>
      </c>
      <c r="K77" s="84">
        <f t="shared" si="21"/>
        <v>385.46000000000004</v>
      </c>
      <c r="L77" s="84">
        <f t="shared" si="22"/>
        <v>2300.17</v>
      </c>
      <c r="M77" s="108">
        <f t="shared" si="23"/>
        <v>40037.67</v>
      </c>
    </row>
    <row r="78" spans="1:13" x14ac:dyDescent="0.2">
      <c r="A78" s="121">
        <f t="shared" si="24"/>
        <v>43955</v>
      </c>
      <c r="B78" s="107">
        <f>Data!CD31</f>
        <v>484.09000000000003</v>
      </c>
      <c r="C78" s="118">
        <f>Data!CE31</f>
        <v>796.03</v>
      </c>
      <c r="D78" s="84">
        <f>Data!CF31</f>
        <v>1020.05</v>
      </c>
      <c r="E78" s="108">
        <f t="shared" si="18"/>
        <v>2300.17</v>
      </c>
      <c r="H78" s="121">
        <f t="shared" si="25"/>
        <v>43955</v>
      </c>
      <c r="I78" s="107">
        <f t="shared" si="19"/>
        <v>33320.620000000003</v>
      </c>
      <c r="J78" s="118">
        <f t="shared" si="20"/>
        <v>2824.7599999999998</v>
      </c>
      <c r="K78" s="84">
        <f t="shared" si="21"/>
        <v>373.69000000000005</v>
      </c>
      <c r="L78" s="84">
        <f t="shared" si="22"/>
        <v>2300.17</v>
      </c>
      <c r="M78" s="108">
        <f t="shared" si="23"/>
        <v>38819.240000000005</v>
      </c>
    </row>
    <row r="79" spans="1:13" x14ac:dyDescent="0.2">
      <c r="A79" s="121">
        <f t="shared" si="24"/>
        <v>43986</v>
      </c>
      <c r="B79" s="107">
        <f>Data!CD32</f>
        <v>390.59000000000003</v>
      </c>
      <c r="C79" s="118">
        <f>Data!CE32</f>
        <v>1083.1600000000001</v>
      </c>
      <c r="D79" s="84">
        <f>Data!CF32</f>
        <v>1170.72</v>
      </c>
      <c r="E79" s="108">
        <f t="shared" si="18"/>
        <v>2644.4700000000003</v>
      </c>
      <c r="H79" s="121">
        <f t="shared" si="25"/>
        <v>43986</v>
      </c>
      <c r="I79" s="107">
        <f t="shared" si="19"/>
        <v>34930.210000000006</v>
      </c>
      <c r="J79" s="118">
        <f t="shared" si="20"/>
        <v>2982.6499999999996</v>
      </c>
      <c r="K79" s="84">
        <f t="shared" si="21"/>
        <v>391.96000000000004</v>
      </c>
      <c r="L79" s="84">
        <f t="shared" si="22"/>
        <v>2644.4700000000003</v>
      </c>
      <c r="M79" s="108">
        <f t="shared" si="23"/>
        <v>40949.290000000008</v>
      </c>
    </row>
    <row r="80" spans="1:13" x14ac:dyDescent="0.2">
      <c r="A80" s="121">
        <f t="shared" si="24"/>
        <v>44017</v>
      </c>
      <c r="B80" s="107">
        <f>Data!CD33</f>
        <v>390.59000000000003</v>
      </c>
      <c r="C80" s="118">
        <f>Data!CE33</f>
        <v>724.39</v>
      </c>
      <c r="D80" s="84">
        <f>Data!CF33</f>
        <v>902</v>
      </c>
      <c r="E80" s="108">
        <f t="shared" ref="E80:E85" si="26">B80+C80+D80</f>
        <v>2016.98</v>
      </c>
      <c r="H80" s="121">
        <f t="shared" si="25"/>
        <v>44017</v>
      </c>
      <c r="I80" s="107">
        <f t="shared" si="19"/>
        <v>34930.210000000006</v>
      </c>
      <c r="J80" s="118">
        <f t="shared" ref="J80:J85" si="27">K46</f>
        <v>2982.6499999999996</v>
      </c>
      <c r="K80" s="84">
        <f t="shared" si="21"/>
        <v>391.96000000000004</v>
      </c>
      <c r="L80" s="84">
        <f t="shared" ref="L80:L85" si="28">E80</f>
        <v>2016.98</v>
      </c>
      <c r="M80" s="108">
        <f t="shared" ref="M80:M85" si="29">SUM(I80:L80)</f>
        <v>40321.80000000001</v>
      </c>
    </row>
    <row r="81" spans="1:13" x14ac:dyDescent="0.2">
      <c r="A81" s="121">
        <f t="shared" si="24"/>
        <v>44048</v>
      </c>
      <c r="B81" s="107">
        <f>Data!CD34</f>
        <v>279.19</v>
      </c>
      <c r="C81" s="118">
        <f>Data!CE34</f>
        <v>698.33</v>
      </c>
      <c r="D81" s="84">
        <f>Data!CF34</f>
        <v>865.97</v>
      </c>
      <c r="E81" s="108">
        <f t="shared" si="26"/>
        <v>1843.49</v>
      </c>
      <c r="H81" s="121">
        <f t="shared" si="25"/>
        <v>44048</v>
      </c>
      <c r="I81" s="107">
        <f t="shared" si="19"/>
        <v>34393.68</v>
      </c>
      <c r="J81" s="118">
        <f t="shared" si="27"/>
        <v>2904.36</v>
      </c>
      <c r="K81" s="84">
        <f t="shared" si="21"/>
        <v>386.65</v>
      </c>
      <c r="L81" s="84">
        <f t="shared" si="28"/>
        <v>1843.49</v>
      </c>
      <c r="M81" s="108">
        <f t="shared" si="29"/>
        <v>39528.18</v>
      </c>
    </row>
    <row r="82" spans="1:13" x14ac:dyDescent="0.2">
      <c r="A82" s="121">
        <f t="shared" si="24"/>
        <v>44079</v>
      </c>
      <c r="B82" s="107">
        <f>Data!CD35</f>
        <v>285.69</v>
      </c>
      <c r="C82" s="118">
        <f>Data!CE35</f>
        <v>706.43</v>
      </c>
      <c r="D82" s="84">
        <f>Data!CF35</f>
        <v>877.18</v>
      </c>
      <c r="E82" s="108">
        <f t="shared" si="26"/>
        <v>1869.2999999999997</v>
      </c>
      <c r="H82" s="121">
        <f t="shared" si="25"/>
        <v>44079</v>
      </c>
      <c r="I82" s="107">
        <f t="shared" si="19"/>
        <v>36003.270000000004</v>
      </c>
      <c r="J82" s="118">
        <f t="shared" si="27"/>
        <v>3062.25</v>
      </c>
      <c r="K82" s="84">
        <f t="shared" si="21"/>
        <v>404.92</v>
      </c>
      <c r="L82" s="84">
        <f t="shared" si="28"/>
        <v>1869.2999999999997</v>
      </c>
      <c r="M82" s="108">
        <f t="shared" si="29"/>
        <v>41339.740000000005</v>
      </c>
    </row>
    <row r="83" spans="1:13" x14ac:dyDescent="0.2">
      <c r="A83" s="121">
        <f t="shared" si="24"/>
        <v>44110</v>
      </c>
      <c r="B83" s="107">
        <f>Data!CD36</f>
        <v>341.92</v>
      </c>
      <c r="C83" s="118">
        <f>Data!CE36</f>
        <v>966.87</v>
      </c>
      <c r="D83" s="84">
        <f>Data!CF36</f>
        <v>1117.3499999999999</v>
      </c>
      <c r="E83" s="108">
        <f t="shared" si="26"/>
        <v>2426.14</v>
      </c>
      <c r="H83" s="121">
        <f t="shared" si="25"/>
        <v>44110</v>
      </c>
      <c r="I83" s="107">
        <f t="shared" si="19"/>
        <v>38685.920000000006</v>
      </c>
      <c r="J83" s="118">
        <f t="shared" si="27"/>
        <v>3299.74</v>
      </c>
      <c r="K83" s="84">
        <f t="shared" si="21"/>
        <v>436.15</v>
      </c>
      <c r="L83" s="84">
        <f t="shared" si="28"/>
        <v>2426.14</v>
      </c>
      <c r="M83" s="108">
        <f t="shared" si="29"/>
        <v>44847.950000000004</v>
      </c>
    </row>
    <row r="84" spans="1:13" x14ac:dyDescent="0.2">
      <c r="A84" s="121">
        <f t="shared" si="24"/>
        <v>44141</v>
      </c>
      <c r="B84" s="107">
        <f>Data!CD37</f>
        <v>322.42</v>
      </c>
      <c r="C84" s="118">
        <f>Data!CE37</f>
        <v>819.16</v>
      </c>
      <c r="D84" s="84">
        <f>Data!CF37</f>
        <v>1003.19</v>
      </c>
      <c r="E84" s="108">
        <f t="shared" si="26"/>
        <v>2144.77</v>
      </c>
      <c r="H84" s="121">
        <f t="shared" si="25"/>
        <v>44141</v>
      </c>
      <c r="I84" s="107">
        <f t="shared" si="19"/>
        <v>40832.04</v>
      </c>
      <c r="J84" s="118">
        <f t="shared" si="27"/>
        <v>3497.43</v>
      </c>
      <c r="K84" s="84">
        <f t="shared" si="21"/>
        <v>460.9</v>
      </c>
      <c r="L84" s="84">
        <f t="shared" si="28"/>
        <v>2144.77</v>
      </c>
      <c r="M84" s="108">
        <f t="shared" si="29"/>
        <v>46935.14</v>
      </c>
    </row>
    <row r="85" spans="1:13" ht="13.5" thickBot="1" x14ac:dyDescent="0.25">
      <c r="A85" s="121">
        <f t="shared" si="24"/>
        <v>44172</v>
      </c>
      <c r="B85" s="140">
        <f>Data!CD38</f>
        <v>313.91000000000003</v>
      </c>
      <c r="C85" s="163">
        <f>Data!CE38</f>
        <v>855.16</v>
      </c>
      <c r="D85" s="141">
        <f>Data!CF38</f>
        <v>1030.19</v>
      </c>
      <c r="E85" s="142">
        <f t="shared" si="26"/>
        <v>2199.2600000000002</v>
      </c>
      <c r="H85" s="121">
        <f t="shared" si="25"/>
        <v>44172</v>
      </c>
      <c r="I85" s="140">
        <f t="shared" si="19"/>
        <v>41368.570000000007</v>
      </c>
      <c r="J85" s="163">
        <f t="shared" si="27"/>
        <v>3537.23</v>
      </c>
      <c r="K85" s="141">
        <f t="shared" si="21"/>
        <v>467.38</v>
      </c>
      <c r="L85" s="141">
        <f t="shared" si="28"/>
        <v>2199.2600000000002</v>
      </c>
      <c r="M85" s="142">
        <f t="shared" si="29"/>
        <v>47572.44000000001</v>
      </c>
    </row>
    <row r="86" spans="1:13" s="131" customFormat="1" x14ac:dyDescent="0.2">
      <c r="A86" s="125" t="s">
        <v>91</v>
      </c>
      <c r="B86" s="128">
        <f>SUM(B74:B85)</f>
        <v>4472.76</v>
      </c>
      <c r="C86" s="134">
        <f>AVERAGE(C74:C85)</f>
        <v>811.11749999999995</v>
      </c>
      <c r="D86" s="128">
        <f>SUM(D74:D85)</f>
        <v>11689.350000000002</v>
      </c>
      <c r="E86" s="128">
        <f>SUM(E74:E85)</f>
        <v>25895.520000000004</v>
      </c>
      <c r="F86" s="127"/>
      <c r="G86" s="127"/>
      <c r="H86" s="125" t="s">
        <v>91</v>
      </c>
      <c r="I86" s="128">
        <f>SUM(I74:I85)</f>
        <v>434074.77</v>
      </c>
      <c r="J86" s="134">
        <f>AVERAGE(J74:J85)</f>
        <v>3066.1908333333336</v>
      </c>
      <c r="K86" s="128">
        <f>SUM(K74:K85)</f>
        <v>4830.46</v>
      </c>
      <c r="L86" s="128">
        <f>SUM(L74:L85)</f>
        <v>25895.520000000004</v>
      </c>
      <c r="M86" s="128">
        <f>SUM(M74:M85)</f>
        <v>501595.04000000004</v>
      </c>
    </row>
  </sheetData>
  <mergeCells count="4">
    <mergeCell ref="L34:L35"/>
    <mergeCell ref="M34:N35"/>
    <mergeCell ref="M31:O32"/>
    <mergeCell ref="P20:P21"/>
  </mergeCells>
  <conditionalFormatting sqref="M40:M45 M52">
    <cfRule type="cellIs" dxfId="3" priority="6" stopIfTrue="1" operator="greaterThan">
      <formula>1</formula>
    </cfRule>
  </conditionalFormatting>
  <conditionalFormatting sqref="M57:M62 M69">
    <cfRule type="cellIs" dxfId="2" priority="5" stopIfTrue="1" operator="greaterThan">
      <formula>1</formula>
    </cfRule>
  </conditionalFormatting>
  <conditionalFormatting sqref="M46:M51">
    <cfRule type="cellIs" dxfId="1" priority="2" stopIfTrue="1" operator="greaterThan">
      <formula>1</formula>
    </cfRule>
  </conditionalFormatting>
  <conditionalFormatting sqref="M63:M68">
    <cfRule type="cellIs" dxfId="0" priority="1" stopIfTrue="1" operator="greaterThan">
      <formula>1</formula>
    </cfRule>
  </conditionalFormatting>
  <pageMargins left="0.7" right="0.7" top="1" bottom="0.75" header="0.3" footer="0.3"/>
  <pageSetup scale="56" fitToHeight="0" orientation="landscape" r:id="rId1"/>
  <headerFooter>
    <oddHeader>&amp;L&amp;"Arial Narrow,Bold"&amp;14VERMONT SPORTSCAR
MONTHLY FINANCIAL REPORT
JANUARY 1, 2020- DECEMBER 31, 2020 PLAN YEAR</oddHeader>
    <oddFooter>&amp;R&amp;G</oddFooter>
  </headerFooter>
  <rowBreaks count="1" manualBreakCount="1">
    <brk id="35" max="15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35"/>
  <sheetViews>
    <sheetView workbookViewId="0">
      <selection activeCell="G25" sqref="G25"/>
    </sheetView>
  </sheetViews>
  <sheetFormatPr defaultRowHeight="12.75" x14ac:dyDescent="0.2"/>
  <cols>
    <col min="1" max="1" width="12" customWidth="1"/>
    <col min="2" max="3" width="9.7109375" customWidth="1"/>
    <col min="4" max="5" width="12" style="5" customWidth="1"/>
    <col min="6" max="6" width="10.7109375" customWidth="1"/>
    <col min="7" max="7" width="11.7109375" customWidth="1"/>
    <col min="8" max="8" width="14.140625" bestFit="1" customWidth="1"/>
    <col min="9" max="13" width="10.7109375" customWidth="1"/>
    <col min="15" max="15" width="14.140625" customWidth="1"/>
    <col min="16" max="16" width="10.28515625" bestFit="1" customWidth="1"/>
    <col min="17" max="17" width="11.140625" customWidth="1"/>
    <col min="18" max="18" width="11.7109375" customWidth="1"/>
  </cols>
  <sheetData>
    <row r="2" spans="1:23" x14ac:dyDescent="0.2">
      <c r="A2" s="1" t="s">
        <v>2</v>
      </c>
      <c r="B2" s="1"/>
      <c r="C2" s="1"/>
      <c r="D2" s="4"/>
      <c r="E2" s="4"/>
      <c r="F2" s="1"/>
      <c r="G2" s="1"/>
      <c r="K2" s="1" t="s">
        <v>24</v>
      </c>
      <c r="N2" s="1" t="s">
        <v>23</v>
      </c>
      <c r="Q2" s="1" t="s">
        <v>25</v>
      </c>
    </row>
    <row r="3" spans="1:23" x14ac:dyDescent="0.2">
      <c r="B3" s="9">
        <v>2013</v>
      </c>
      <c r="C3" s="9"/>
      <c r="D3" s="5">
        <v>2014</v>
      </c>
      <c r="J3" s="31" t="s">
        <v>20</v>
      </c>
      <c r="K3" s="31" t="s">
        <v>21</v>
      </c>
      <c r="L3" s="31" t="s">
        <v>22</v>
      </c>
      <c r="M3" s="19" t="s">
        <v>20</v>
      </c>
      <c r="N3" s="19" t="s">
        <v>21</v>
      </c>
      <c r="O3" s="19" t="s">
        <v>22</v>
      </c>
      <c r="P3" s="22" t="s">
        <v>20</v>
      </c>
      <c r="Q3" s="22" t="s">
        <v>21</v>
      </c>
      <c r="R3" s="22" t="s">
        <v>22</v>
      </c>
      <c r="U3">
        <v>50</v>
      </c>
      <c r="V3">
        <v>75</v>
      </c>
      <c r="W3" s="17">
        <f>(75-50)/50</f>
        <v>0.5</v>
      </c>
    </row>
    <row r="4" spans="1:23" x14ac:dyDescent="0.2">
      <c r="A4" s="2" t="s">
        <v>0</v>
      </c>
      <c r="B4" s="10"/>
      <c r="C4" s="10"/>
      <c r="D4" s="3" t="s">
        <v>13</v>
      </c>
      <c r="E4" s="3"/>
      <c r="F4" s="2" t="s">
        <v>14</v>
      </c>
      <c r="G4" s="2" t="s">
        <v>15</v>
      </c>
      <c r="H4" s="14" t="s">
        <v>9</v>
      </c>
      <c r="I4" s="12" t="s">
        <v>17</v>
      </c>
      <c r="J4" s="32"/>
      <c r="K4" s="32"/>
      <c r="L4" s="32"/>
      <c r="M4" s="20"/>
      <c r="N4" s="20"/>
      <c r="O4" s="20"/>
      <c r="P4" s="23"/>
      <c r="Q4" s="23"/>
      <c r="R4" s="23"/>
    </row>
    <row r="5" spans="1:23" x14ac:dyDescent="0.2">
      <c r="A5" s="1" t="s">
        <v>3</v>
      </c>
      <c r="B5" s="9">
        <v>31</v>
      </c>
      <c r="C5" s="9"/>
      <c r="D5" s="4">
        <v>43</v>
      </c>
      <c r="E5" s="4"/>
      <c r="F5" s="1"/>
      <c r="G5" s="1"/>
      <c r="H5" s="15">
        <v>552.14</v>
      </c>
      <c r="I5" s="12">
        <f>H5</f>
        <v>552.14</v>
      </c>
      <c r="J5" s="32">
        <v>54.42</v>
      </c>
      <c r="K5" s="32">
        <v>59.48</v>
      </c>
      <c r="L5" s="32">
        <v>66.91</v>
      </c>
      <c r="M5" s="21">
        <f t="shared" ref="M5:O8" si="0">(J5*26)/12</f>
        <v>117.91000000000001</v>
      </c>
      <c r="N5" s="21">
        <f t="shared" si="0"/>
        <v>128.87333333333333</v>
      </c>
      <c r="O5" s="21">
        <f t="shared" si="0"/>
        <v>144.97166666666666</v>
      </c>
      <c r="P5" s="24">
        <f>$I$5-M5</f>
        <v>434.22999999999996</v>
      </c>
      <c r="Q5" s="24">
        <f>$I$5-N5</f>
        <v>423.26666666666665</v>
      </c>
      <c r="R5" s="24">
        <f>$I$5-O5</f>
        <v>407.16833333333329</v>
      </c>
      <c r="T5" s="1" t="s">
        <v>27</v>
      </c>
    </row>
    <row r="6" spans="1:23" x14ac:dyDescent="0.2">
      <c r="A6" s="1" t="s">
        <v>5</v>
      </c>
      <c r="B6" s="9">
        <v>17</v>
      </c>
      <c r="C6" s="9"/>
      <c r="D6" s="4">
        <v>22</v>
      </c>
      <c r="E6" s="29" t="s">
        <v>29</v>
      </c>
      <c r="F6" s="1"/>
      <c r="G6" s="1"/>
      <c r="H6" s="15">
        <v>1104.5</v>
      </c>
      <c r="I6" s="12">
        <f>H6</f>
        <v>1104.5</v>
      </c>
      <c r="J6" s="32">
        <v>103.4</v>
      </c>
      <c r="K6" s="32">
        <v>113</v>
      </c>
      <c r="L6" s="32">
        <v>127.13</v>
      </c>
      <c r="M6" s="21">
        <f t="shared" si="0"/>
        <v>224.03333333333333</v>
      </c>
      <c r="N6" s="21">
        <f t="shared" si="0"/>
        <v>244.83333333333334</v>
      </c>
      <c r="O6" s="21">
        <f t="shared" si="0"/>
        <v>275.44833333333332</v>
      </c>
      <c r="P6" s="24">
        <f>$I$6-M6</f>
        <v>880.4666666666667</v>
      </c>
      <c r="Q6" s="24">
        <f>$I$6-N6</f>
        <v>859.66666666666663</v>
      </c>
      <c r="R6" s="24">
        <f>$I$6-O6</f>
        <v>829.05166666666673</v>
      </c>
    </row>
    <row r="7" spans="1:23" x14ac:dyDescent="0.2">
      <c r="A7" s="1" t="s">
        <v>12</v>
      </c>
      <c r="B7" s="9"/>
      <c r="C7" s="9"/>
      <c r="D7" s="4">
        <v>3</v>
      </c>
      <c r="E7" s="4"/>
      <c r="F7" s="1"/>
      <c r="G7" s="1"/>
      <c r="H7" s="15">
        <v>1070.68</v>
      </c>
      <c r="I7" s="12">
        <f>H7</f>
        <v>1070.68</v>
      </c>
      <c r="J7" s="32">
        <v>100.68</v>
      </c>
      <c r="K7" s="32">
        <v>110.03</v>
      </c>
      <c r="L7" s="32">
        <v>123.78</v>
      </c>
      <c r="M7" s="21">
        <f t="shared" si="0"/>
        <v>218.14000000000001</v>
      </c>
      <c r="N7" s="21">
        <f t="shared" si="0"/>
        <v>238.39833333333334</v>
      </c>
      <c r="O7" s="21">
        <f t="shared" si="0"/>
        <v>268.19</v>
      </c>
      <c r="P7" s="24">
        <f>$I$7-M7</f>
        <v>852.54000000000008</v>
      </c>
      <c r="Q7" s="24">
        <f>$I$7-N7</f>
        <v>832.28166666666675</v>
      </c>
      <c r="R7" s="24">
        <f>$I$7-O7</f>
        <v>802.49</v>
      </c>
    </row>
    <row r="8" spans="1:23" x14ac:dyDescent="0.2">
      <c r="A8" s="1" t="s">
        <v>4</v>
      </c>
      <c r="B8" s="9">
        <v>28</v>
      </c>
      <c r="C8" s="9"/>
      <c r="D8" s="4">
        <v>35</v>
      </c>
      <c r="E8" s="4"/>
      <c r="F8" s="1"/>
      <c r="G8" s="1"/>
      <c r="H8" s="15">
        <v>1642.48</v>
      </c>
      <c r="I8" s="12">
        <f>H8</f>
        <v>1642.48</v>
      </c>
      <c r="J8" s="32">
        <v>149.66</v>
      </c>
      <c r="K8" s="32">
        <v>163.56</v>
      </c>
      <c r="L8" s="32">
        <v>184</v>
      </c>
      <c r="M8" s="21">
        <f t="shared" si="0"/>
        <v>324.26333333333332</v>
      </c>
      <c r="N8" s="21">
        <f t="shared" si="0"/>
        <v>354.38000000000005</v>
      </c>
      <c r="O8" s="21">
        <f t="shared" si="0"/>
        <v>398.66666666666669</v>
      </c>
      <c r="P8" s="24">
        <f>$I$8-M8</f>
        <v>1318.2166666666667</v>
      </c>
      <c r="Q8" s="24">
        <f>$I$8-N8</f>
        <v>1288.0999999999999</v>
      </c>
      <c r="R8" s="24">
        <f>$I$8-O8</f>
        <v>1243.8133333333333</v>
      </c>
      <c r="T8" s="1" t="s">
        <v>26</v>
      </c>
    </row>
    <row r="9" spans="1:23" x14ac:dyDescent="0.2">
      <c r="A9" s="1"/>
      <c r="B9" s="11">
        <f>SUM(B5:B8)</f>
        <v>76</v>
      </c>
      <c r="C9" s="25">
        <f>B9/B25</f>
        <v>0.37073170731707317</v>
      </c>
      <c r="D9" s="3">
        <f>SUM(D5:D8)</f>
        <v>103</v>
      </c>
      <c r="E9" s="26">
        <f>D9/D25</f>
        <v>0.49047619047619045</v>
      </c>
      <c r="F9" s="1"/>
      <c r="G9" s="1"/>
      <c r="H9" s="15"/>
      <c r="I9" s="12"/>
      <c r="J9" s="32"/>
      <c r="K9" s="32"/>
      <c r="L9" s="32"/>
      <c r="M9" s="21"/>
      <c r="N9" s="21"/>
      <c r="O9" s="21"/>
      <c r="P9" s="24"/>
      <c r="Q9" s="24"/>
      <c r="R9" s="24"/>
    </row>
    <row r="10" spans="1:23" x14ac:dyDescent="0.2">
      <c r="B10" s="9"/>
      <c r="C10" s="9"/>
      <c r="E10" s="27"/>
      <c r="H10" s="15"/>
      <c r="I10" s="12"/>
      <c r="J10" s="32"/>
      <c r="K10" s="32"/>
      <c r="L10" s="32"/>
      <c r="M10" s="21"/>
      <c r="N10" s="21"/>
      <c r="O10" s="21"/>
      <c r="P10" s="24"/>
      <c r="Q10" s="24"/>
      <c r="R10" s="24"/>
    </row>
    <row r="11" spans="1:23" x14ac:dyDescent="0.2">
      <c r="A11" s="2" t="s">
        <v>10</v>
      </c>
      <c r="B11" s="11"/>
      <c r="C11" s="11"/>
      <c r="D11" s="3"/>
      <c r="E11" s="26"/>
      <c r="F11" s="2"/>
      <c r="G11" s="2"/>
      <c r="H11" s="15"/>
      <c r="I11" s="12"/>
      <c r="J11" s="32"/>
      <c r="K11" s="32"/>
      <c r="L11" s="32"/>
      <c r="M11" s="21"/>
      <c r="N11" s="21"/>
      <c r="O11" s="21"/>
      <c r="P11" s="24"/>
      <c r="Q11" s="24"/>
      <c r="R11" s="24"/>
    </row>
    <row r="12" spans="1:23" x14ac:dyDescent="0.2">
      <c r="A12" s="1" t="s">
        <v>3</v>
      </c>
      <c r="B12" s="9">
        <v>21</v>
      </c>
      <c r="C12" s="9"/>
      <c r="D12" s="4">
        <v>16</v>
      </c>
      <c r="E12" s="28"/>
      <c r="F12" s="6">
        <v>250</v>
      </c>
      <c r="G12" s="6">
        <f>D12*F12</f>
        <v>4000</v>
      </c>
      <c r="H12" s="15">
        <v>496.37</v>
      </c>
      <c r="I12" s="13">
        <f>H12+(F12/12)</f>
        <v>517.20333333333338</v>
      </c>
      <c r="J12" s="33">
        <v>40.92</v>
      </c>
      <c r="K12" s="33">
        <v>44.72</v>
      </c>
      <c r="L12" s="33">
        <v>50.31</v>
      </c>
      <c r="M12" s="21">
        <f t="shared" ref="M12:O15" si="1">(J12*26)/12</f>
        <v>88.660000000000011</v>
      </c>
      <c r="N12" s="21">
        <f t="shared" si="1"/>
        <v>96.893333333333331</v>
      </c>
      <c r="O12" s="21">
        <f t="shared" si="1"/>
        <v>109.005</v>
      </c>
      <c r="P12" s="24">
        <f>$I$12-M12</f>
        <v>428.54333333333335</v>
      </c>
      <c r="Q12" s="24">
        <f>$I$12-N12</f>
        <v>420.31000000000006</v>
      </c>
      <c r="R12" s="24">
        <f>$I$12-O12</f>
        <v>408.19833333333338</v>
      </c>
    </row>
    <row r="13" spans="1:23" x14ac:dyDescent="0.2">
      <c r="A13" s="1" t="s">
        <v>5</v>
      </c>
      <c r="B13" s="9">
        <v>21</v>
      </c>
      <c r="C13" s="9"/>
      <c r="D13" s="4">
        <v>13</v>
      </c>
      <c r="E13" s="28"/>
      <c r="F13" s="6">
        <v>500</v>
      </c>
      <c r="G13" s="6">
        <f>D13*F13</f>
        <v>6500</v>
      </c>
      <c r="H13" s="15">
        <v>912.39</v>
      </c>
      <c r="I13" s="13">
        <f>H13+(F13/12)</f>
        <v>954.05666666666662</v>
      </c>
      <c r="J13" s="33">
        <v>77.75</v>
      </c>
      <c r="K13" s="33">
        <v>84.97</v>
      </c>
      <c r="L13" s="33">
        <v>95.59</v>
      </c>
      <c r="M13" s="21">
        <f t="shared" si="1"/>
        <v>168.45833333333334</v>
      </c>
      <c r="N13" s="21">
        <f t="shared" si="1"/>
        <v>184.10166666666666</v>
      </c>
      <c r="O13" s="21">
        <f t="shared" si="1"/>
        <v>207.11166666666668</v>
      </c>
      <c r="P13" s="24">
        <f>$I$13-M13</f>
        <v>785.59833333333324</v>
      </c>
      <c r="Q13" s="24">
        <f>$I$13-N13</f>
        <v>769.95499999999993</v>
      </c>
      <c r="R13" s="24">
        <f>$I$13-O13</f>
        <v>746.94499999999994</v>
      </c>
    </row>
    <row r="14" spans="1:23" x14ac:dyDescent="0.2">
      <c r="A14" s="1" t="s">
        <v>12</v>
      </c>
      <c r="B14" s="9"/>
      <c r="C14" s="9"/>
      <c r="D14" s="4">
        <v>4</v>
      </c>
      <c r="E14" s="28"/>
      <c r="F14" s="6">
        <v>500</v>
      </c>
      <c r="G14" s="6">
        <f>D14*F14</f>
        <v>2000</v>
      </c>
      <c r="H14" s="15">
        <v>678.2</v>
      </c>
      <c r="I14" s="13">
        <f>H14+(F14/12)</f>
        <v>719.86666666666667</v>
      </c>
      <c r="J14" s="33">
        <v>75.7</v>
      </c>
      <c r="K14" s="33">
        <v>82.73</v>
      </c>
      <c r="L14" s="33">
        <v>93.07</v>
      </c>
      <c r="M14" s="21">
        <f t="shared" si="1"/>
        <v>164.01666666666668</v>
      </c>
      <c r="N14" s="21">
        <f t="shared" si="1"/>
        <v>179.24833333333333</v>
      </c>
      <c r="O14" s="21">
        <f t="shared" si="1"/>
        <v>201.65166666666664</v>
      </c>
      <c r="P14" s="24">
        <f>$I$14-M14</f>
        <v>555.85</v>
      </c>
      <c r="Q14" s="24">
        <f>$I$14-N14</f>
        <v>540.61833333333334</v>
      </c>
      <c r="R14" s="24">
        <f>$I$14-O14</f>
        <v>518.21500000000003</v>
      </c>
    </row>
    <row r="15" spans="1:23" x14ac:dyDescent="0.2">
      <c r="A15" s="1" t="s">
        <v>6</v>
      </c>
      <c r="B15" s="9">
        <v>21</v>
      </c>
      <c r="C15" s="9"/>
      <c r="D15" s="4">
        <v>7</v>
      </c>
      <c r="E15" s="28"/>
      <c r="F15" s="6">
        <v>500</v>
      </c>
      <c r="G15" s="6">
        <f>D15*F15</f>
        <v>3500</v>
      </c>
      <c r="H15" s="15">
        <v>1346.79</v>
      </c>
      <c r="I15" s="13">
        <f>H15+(F15/12)</f>
        <v>1388.4566666666667</v>
      </c>
      <c r="J15" s="33">
        <v>112.53</v>
      </c>
      <c r="K15" s="33">
        <v>122.98</v>
      </c>
      <c r="L15" s="33">
        <v>138.35</v>
      </c>
      <c r="M15" s="21">
        <f t="shared" si="1"/>
        <v>243.81500000000003</v>
      </c>
      <c r="N15" s="21">
        <f t="shared" si="1"/>
        <v>266.45666666666665</v>
      </c>
      <c r="O15" s="21">
        <f t="shared" si="1"/>
        <v>299.75833333333333</v>
      </c>
      <c r="P15" s="24">
        <f>$I$15-M15</f>
        <v>1144.6416666666667</v>
      </c>
      <c r="Q15" s="24">
        <f>$I$15-N15</f>
        <v>1122</v>
      </c>
      <c r="R15" s="24">
        <f>$I$15-O15</f>
        <v>1088.6983333333333</v>
      </c>
    </row>
    <row r="16" spans="1:23" x14ac:dyDescent="0.2">
      <c r="A16" s="1"/>
      <c r="B16" s="11">
        <f>SUM(B12:B15)</f>
        <v>63</v>
      </c>
      <c r="C16" s="25">
        <f>B16/B25</f>
        <v>0.3073170731707317</v>
      </c>
      <c r="D16" s="3">
        <f>SUM(D12:D15)</f>
        <v>40</v>
      </c>
      <c r="E16" s="26">
        <f>D16/D25</f>
        <v>0.19047619047619047</v>
      </c>
      <c r="F16" s="6"/>
      <c r="G16" s="6"/>
      <c r="H16" s="15"/>
      <c r="I16" s="12"/>
      <c r="J16" s="32"/>
      <c r="K16" s="32"/>
      <c r="L16" s="32"/>
      <c r="M16" s="21"/>
      <c r="N16" s="21"/>
      <c r="O16" s="21"/>
      <c r="P16" s="24"/>
      <c r="Q16" s="24"/>
      <c r="R16" s="24"/>
    </row>
    <row r="17" spans="1:20" x14ac:dyDescent="0.2">
      <c r="B17" s="9"/>
      <c r="C17" s="9"/>
      <c r="E17" s="27"/>
      <c r="F17" s="7"/>
      <c r="G17" s="7"/>
      <c r="H17" s="15"/>
      <c r="I17" s="12"/>
      <c r="J17" s="32"/>
      <c r="K17" s="32"/>
      <c r="L17" s="32"/>
      <c r="M17" s="21"/>
      <c r="N17" s="21"/>
      <c r="O17" s="21"/>
      <c r="P17" s="24"/>
      <c r="Q17" s="24"/>
      <c r="R17" s="24"/>
    </row>
    <row r="18" spans="1:20" x14ac:dyDescent="0.2">
      <c r="A18" s="2" t="s">
        <v>11</v>
      </c>
      <c r="B18" s="11"/>
      <c r="C18" s="11"/>
      <c r="D18" s="3"/>
      <c r="E18" s="26"/>
      <c r="F18" s="8"/>
      <c r="G18" s="8"/>
      <c r="H18" s="15"/>
      <c r="I18" s="12"/>
      <c r="J18" s="32"/>
      <c r="K18" s="32"/>
      <c r="L18" s="32"/>
      <c r="M18" s="21"/>
      <c r="N18" s="21"/>
      <c r="O18" s="21"/>
      <c r="P18" s="24"/>
      <c r="Q18" s="24"/>
      <c r="R18" s="24"/>
    </row>
    <row r="19" spans="1:20" x14ac:dyDescent="0.2">
      <c r="A19" s="1" t="s">
        <v>3</v>
      </c>
      <c r="B19" s="9">
        <v>39</v>
      </c>
      <c r="C19" s="9"/>
      <c r="D19" s="4">
        <v>37</v>
      </c>
      <c r="E19" s="28"/>
      <c r="F19" s="6">
        <v>750</v>
      </c>
      <c r="G19" s="6">
        <f>D19*F19</f>
        <v>27750</v>
      </c>
      <c r="H19" s="15">
        <v>442.08</v>
      </c>
      <c r="I19" s="13">
        <f>H19+(F19/12)</f>
        <v>504.58</v>
      </c>
      <c r="J19" s="33">
        <v>28.82</v>
      </c>
      <c r="K19" s="33">
        <v>31.5</v>
      </c>
      <c r="L19" s="33">
        <v>35.44</v>
      </c>
      <c r="M19" s="21">
        <f t="shared" ref="M19:O22" si="2">(J19*26)/12</f>
        <v>62.443333333333335</v>
      </c>
      <c r="N19" s="21">
        <f t="shared" si="2"/>
        <v>68.25</v>
      </c>
      <c r="O19" s="21">
        <f t="shared" si="2"/>
        <v>76.786666666666662</v>
      </c>
      <c r="P19" s="24">
        <f>$I$19-M19</f>
        <v>442.13666666666666</v>
      </c>
      <c r="Q19" s="24">
        <f>$I$19-N19</f>
        <v>436.33</v>
      </c>
      <c r="R19" s="24">
        <f>$I$19-O19</f>
        <v>427.79333333333329</v>
      </c>
      <c r="T19" s="1" t="s">
        <v>28</v>
      </c>
    </row>
    <row r="20" spans="1:20" x14ac:dyDescent="0.2">
      <c r="A20" s="1" t="s">
        <v>5</v>
      </c>
      <c r="B20" s="9">
        <v>8</v>
      </c>
      <c r="C20" s="9"/>
      <c r="D20" s="4">
        <v>10</v>
      </c>
      <c r="E20" s="28"/>
      <c r="F20" s="6">
        <v>1500</v>
      </c>
      <c r="G20" s="6">
        <f>D20*F20</f>
        <v>15000</v>
      </c>
      <c r="H20" s="15">
        <v>780.73</v>
      </c>
      <c r="I20" s="13">
        <f>H20+(F20/12)</f>
        <v>905.73</v>
      </c>
      <c r="J20" s="33">
        <v>54.77</v>
      </c>
      <c r="K20" s="33">
        <v>59.85</v>
      </c>
      <c r="L20" s="33">
        <v>67.34</v>
      </c>
      <c r="M20" s="21">
        <f t="shared" si="2"/>
        <v>118.66833333333334</v>
      </c>
      <c r="N20" s="21">
        <f t="shared" si="2"/>
        <v>129.67500000000001</v>
      </c>
      <c r="O20" s="21">
        <f t="shared" si="2"/>
        <v>145.90333333333334</v>
      </c>
      <c r="P20" s="24">
        <f>$I$20-M20</f>
        <v>787.06166666666672</v>
      </c>
      <c r="Q20" s="24">
        <f>$I$20-N20</f>
        <v>776.05500000000006</v>
      </c>
      <c r="R20" s="24">
        <f>$I$20-O20</f>
        <v>759.82666666666671</v>
      </c>
    </row>
    <row r="21" spans="1:20" x14ac:dyDescent="0.2">
      <c r="A21" s="1" t="s">
        <v>12</v>
      </c>
      <c r="B21" s="9"/>
      <c r="C21" s="9"/>
      <c r="D21" s="4">
        <v>2</v>
      </c>
      <c r="E21" s="28"/>
      <c r="F21" s="6">
        <v>1500</v>
      </c>
      <c r="G21" s="6">
        <f>D21*F21</f>
        <v>3000</v>
      </c>
      <c r="H21" s="15">
        <v>580.44000000000005</v>
      </c>
      <c r="I21" s="13">
        <f>H21+(F21/12)</f>
        <v>705.44</v>
      </c>
      <c r="J21" s="33">
        <v>53.33</v>
      </c>
      <c r="K21" s="33">
        <v>58.28</v>
      </c>
      <c r="L21" s="33">
        <v>65.56</v>
      </c>
      <c r="M21" s="21">
        <f t="shared" si="2"/>
        <v>115.54833333333333</v>
      </c>
      <c r="N21" s="21">
        <f t="shared" si="2"/>
        <v>126.27333333333333</v>
      </c>
      <c r="O21" s="21">
        <f t="shared" si="2"/>
        <v>142.04666666666665</v>
      </c>
      <c r="P21" s="24">
        <f>$I$21-M21</f>
        <v>589.89166666666677</v>
      </c>
      <c r="Q21" s="24">
        <f>$I$21-N21</f>
        <v>579.16666666666674</v>
      </c>
      <c r="R21" s="24">
        <f>$I$21-O21</f>
        <v>563.39333333333343</v>
      </c>
    </row>
    <row r="22" spans="1:20" x14ac:dyDescent="0.2">
      <c r="A22" s="1" t="s">
        <v>7</v>
      </c>
      <c r="B22" s="9">
        <v>19</v>
      </c>
      <c r="C22" s="9"/>
      <c r="D22" s="4">
        <v>18</v>
      </c>
      <c r="E22" s="28"/>
      <c r="F22" s="6">
        <v>1500</v>
      </c>
      <c r="G22" s="6">
        <f>D22*F22</f>
        <v>27000</v>
      </c>
      <c r="H22" s="15">
        <v>1151.51</v>
      </c>
      <c r="I22" s="13">
        <f>H22+(F22/12)</f>
        <v>1276.51</v>
      </c>
      <c r="J22" s="33">
        <v>79.27</v>
      </c>
      <c r="K22" s="33">
        <v>86.63</v>
      </c>
      <c r="L22" s="33">
        <v>97.46</v>
      </c>
      <c r="M22" s="21">
        <f t="shared" si="2"/>
        <v>171.75166666666667</v>
      </c>
      <c r="N22" s="21">
        <f t="shared" si="2"/>
        <v>187.69833333333335</v>
      </c>
      <c r="O22" s="21">
        <f t="shared" si="2"/>
        <v>211.16333333333333</v>
      </c>
      <c r="P22" s="24">
        <f>$I$22-M22</f>
        <v>1104.7583333333332</v>
      </c>
      <c r="Q22" s="24">
        <f>$I$22-N22</f>
        <v>1088.8116666666667</v>
      </c>
      <c r="R22" s="24">
        <f>$I$22-O22</f>
        <v>1065.3466666666666</v>
      </c>
    </row>
    <row r="23" spans="1:20" x14ac:dyDescent="0.2">
      <c r="A23" s="1"/>
      <c r="B23" s="11">
        <f>SUM(B19:B22)</f>
        <v>66</v>
      </c>
      <c r="C23" s="25">
        <f>B23/B25</f>
        <v>0.32195121951219513</v>
      </c>
      <c r="D23" s="3">
        <f>SUM(D19:D22)</f>
        <v>67</v>
      </c>
      <c r="E23" s="26">
        <f>D23/D25</f>
        <v>0.31904761904761902</v>
      </c>
      <c r="F23" s="6"/>
      <c r="G23" s="6"/>
      <c r="O23" s="3"/>
      <c r="Q23" s="18"/>
    </row>
    <row r="24" spans="1:20" x14ac:dyDescent="0.2">
      <c r="A24" s="1"/>
      <c r="B24" s="1"/>
      <c r="C24" s="1"/>
      <c r="D24" s="4"/>
      <c r="E24" s="4"/>
      <c r="F24" s="6"/>
      <c r="G24" s="6"/>
    </row>
    <row r="25" spans="1:20" x14ac:dyDescent="0.2">
      <c r="A25" s="1" t="s">
        <v>16</v>
      </c>
      <c r="B25" s="4">
        <f>B9+B16+B23</f>
        <v>205</v>
      </c>
      <c r="C25" s="4"/>
      <c r="D25" s="4">
        <f>D9+D16+D23</f>
        <v>210</v>
      </c>
      <c r="E25" s="4"/>
      <c r="F25" s="6"/>
      <c r="G25" s="6">
        <f>SUM(G12:G22)</f>
        <v>88750</v>
      </c>
      <c r="O25" s="16"/>
      <c r="Q25" s="18"/>
    </row>
    <row r="27" spans="1:20" x14ac:dyDescent="0.2">
      <c r="A27" s="2" t="s">
        <v>8</v>
      </c>
      <c r="B27" s="2"/>
      <c r="C27" s="2"/>
      <c r="D27" s="3"/>
      <c r="E27" s="3"/>
      <c r="F27" s="2"/>
      <c r="G27" s="2"/>
    </row>
    <row r="28" spans="1:20" x14ac:dyDescent="0.2">
      <c r="A28" s="1" t="s">
        <v>3</v>
      </c>
      <c r="B28" s="1"/>
      <c r="C28" s="1"/>
      <c r="D28" s="4"/>
      <c r="E28" s="4"/>
      <c r="F28" s="1"/>
      <c r="G28" s="1"/>
    </row>
    <row r="29" spans="1:20" x14ac:dyDescent="0.2">
      <c r="A29" s="1" t="s">
        <v>5</v>
      </c>
      <c r="B29" s="1"/>
      <c r="C29" s="1"/>
      <c r="D29" s="4"/>
      <c r="E29" s="4"/>
      <c r="F29" s="1"/>
      <c r="G29" s="1"/>
    </row>
    <row r="30" spans="1:20" x14ac:dyDescent="0.2">
      <c r="A30" s="1" t="s">
        <v>7</v>
      </c>
      <c r="B30" s="1"/>
      <c r="C30" s="1"/>
      <c r="D30" s="4"/>
      <c r="E30" s="4"/>
      <c r="F30" s="1"/>
      <c r="G30" s="1"/>
    </row>
    <row r="32" spans="1:20" x14ac:dyDescent="0.2">
      <c r="A32" s="2" t="s">
        <v>1</v>
      </c>
      <c r="B32" s="2"/>
      <c r="C32" s="2"/>
      <c r="D32" s="3"/>
      <c r="E32" s="3"/>
      <c r="F32" s="2"/>
      <c r="G32" s="2"/>
    </row>
    <row r="33" spans="1:7" x14ac:dyDescent="0.2">
      <c r="A33" s="1" t="s">
        <v>3</v>
      </c>
      <c r="B33" s="1"/>
      <c r="C33" s="1"/>
      <c r="D33" s="4"/>
      <c r="E33" s="4"/>
      <c r="F33" s="1"/>
      <c r="G33" s="1"/>
    </row>
    <row r="34" spans="1:7" x14ac:dyDescent="0.2">
      <c r="A34" s="1" t="s">
        <v>5</v>
      </c>
      <c r="B34" s="1"/>
      <c r="C34" s="1"/>
      <c r="D34" s="4"/>
      <c r="E34" s="4"/>
      <c r="F34" s="1"/>
      <c r="G34" s="1"/>
    </row>
    <row r="35" spans="1:7" x14ac:dyDescent="0.2">
      <c r="A35" s="1" t="s">
        <v>7</v>
      </c>
      <c r="B35" s="1"/>
      <c r="C35" s="1"/>
      <c r="D35" s="4"/>
      <c r="E35" s="4"/>
      <c r="F35" s="1"/>
      <c r="G35" s="1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5"/>
  <sheetViews>
    <sheetView topLeftCell="B1" workbookViewId="0">
      <selection activeCell="R32" sqref="R32"/>
    </sheetView>
  </sheetViews>
  <sheetFormatPr defaultRowHeight="12.75" x14ac:dyDescent="0.2"/>
  <cols>
    <col min="1" max="1" width="12" customWidth="1"/>
    <col min="2" max="2" width="9.7109375" customWidth="1"/>
    <col min="3" max="3" width="12" style="5" customWidth="1"/>
    <col min="4" max="4" width="10.7109375" customWidth="1"/>
    <col min="5" max="5" width="11.7109375" customWidth="1"/>
    <col min="6" max="6" width="14.140625" bestFit="1" customWidth="1"/>
    <col min="7" max="7" width="15.42578125" customWidth="1"/>
    <col min="8" max="8" width="18.42578125" customWidth="1"/>
    <col min="9" max="9" width="16.5703125" customWidth="1"/>
    <col min="13" max="19" width="15.7109375" customWidth="1"/>
    <col min="20" max="20" width="20.140625" customWidth="1"/>
    <col min="21" max="21" width="15.7109375" customWidth="1"/>
  </cols>
  <sheetData>
    <row r="1" spans="1:20" x14ac:dyDescent="0.2">
      <c r="A1" s="69">
        <v>2014</v>
      </c>
      <c r="B1" s="34"/>
      <c r="C1" s="35"/>
      <c r="D1" s="34"/>
      <c r="E1" s="34"/>
      <c r="F1" s="34"/>
      <c r="G1" s="34"/>
      <c r="H1" s="34"/>
      <c r="I1" s="34"/>
      <c r="J1" s="34"/>
      <c r="K1" s="34"/>
      <c r="L1" s="36"/>
      <c r="M1" s="69">
        <v>2013</v>
      </c>
      <c r="N1" s="34"/>
      <c r="O1" s="34"/>
      <c r="P1" s="34"/>
      <c r="Q1" s="34"/>
      <c r="R1" s="34"/>
      <c r="S1" s="34"/>
      <c r="T1" s="36"/>
    </row>
    <row r="2" spans="1:20" x14ac:dyDescent="0.2">
      <c r="A2" s="37" t="s">
        <v>2</v>
      </c>
      <c r="B2" s="38"/>
      <c r="C2" s="39"/>
      <c r="D2" s="38"/>
      <c r="E2" s="38"/>
      <c r="F2" s="40"/>
      <c r="G2" s="40"/>
      <c r="H2" s="40"/>
      <c r="I2" s="40"/>
      <c r="J2" s="40"/>
      <c r="K2" s="40"/>
      <c r="L2" s="41"/>
      <c r="M2" s="37" t="s">
        <v>2</v>
      </c>
      <c r="N2" s="38"/>
      <c r="O2" s="38"/>
      <c r="P2" s="38"/>
      <c r="Q2" s="40"/>
      <c r="R2" s="40"/>
      <c r="S2" s="40"/>
      <c r="T2" s="41"/>
    </row>
    <row r="3" spans="1:20" x14ac:dyDescent="0.2">
      <c r="A3" s="42"/>
      <c r="B3" s="43">
        <v>2013</v>
      </c>
      <c r="C3" s="44">
        <v>2014</v>
      </c>
      <c r="D3" s="40"/>
      <c r="E3" s="40"/>
      <c r="F3" s="40"/>
      <c r="G3" s="40"/>
      <c r="H3" s="40"/>
      <c r="I3" s="40"/>
      <c r="J3" s="45" t="s">
        <v>19</v>
      </c>
      <c r="K3" s="40"/>
      <c r="L3" s="41"/>
      <c r="M3" s="42"/>
      <c r="N3" s="43">
        <v>2013</v>
      </c>
      <c r="O3" s="40"/>
      <c r="P3" s="40"/>
      <c r="Q3" s="40"/>
      <c r="R3" s="40"/>
      <c r="S3" s="40"/>
      <c r="T3" s="65"/>
    </row>
    <row r="4" spans="1:20" x14ac:dyDescent="0.2">
      <c r="A4" s="46" t="s">
        <v>0</v>
      </c>
      <c r="B4" s="47"/>
      <c r="C4" s="70" t="s">
        <v>13</v>
      </c>
      <c r="D4" s="70" t="s">
        <v>14</v>
      </c>
      <c r="E4" s="70" t="s">
        <v>15</v>
      </c>
      <c r="F4" s="49" t="s">
        <v>9</v>
      </c>
      <c r="G4" s="50" t="s">
        <v>17</v>
      </c>
      <c r="H4" s="40" t="s">
        <v>18</v>
      </c>
      <c r="I4" s="38" t="s">
        <v>30</v>
      </c>
      <c r="J4" s="40"/>
      <c r="K4" s="40"/>
      <c r="L4" s="41"/>
      <c r="M4" s="46" t="s">
        <v>0</v>
      </c>
      <c r="N4" s="47"/>
      <c r="O4" s="70" t="s">
        <v>14</v>
      </c>
      <c r="P4" s="70" t="s">
        <v>15</v>
      </c>
      <c r="Q4" s="49" t="s">
        <v>9</v>
      </c>
      <c r="R4" s="50" t="s">
        <v>17</v>
      </c>
      <c r="S4" s="40"/>
      <c r="T4" s="41"/>
    </row>
    <row r="5" spans="1:20" x14ac:dyDescent="0.2">
      <c r="A5" s="37" t="s">
        <v>3</v>
      </c>
      <c r="B5" s="43">
        <v>31</v>
      </c>
      <c r="C5" s="39">
        <v>43</v>
      </c>
      <c r="D5" s="38"/>
      <c r="E5" s="38"/>
      <c r="F5" s="51">
        <v>552.14</v>
      </c>
      <c r="G5" s="52">
        <f>+F5</f>
        <v>552.14</v>
      </c>
      <c r="H5" s="40">
        <f>C5*F5</f>
        <v>23742.02</v>
      </c>
      <c r="I5" s="40">
        <f>+H5</f>
        <v>23742.02</v>
      </c>
      <c r="J5" s="53">
        <f>(C5-B5)/B5</f>
        <v>0.38709677419354838</v>
      </c>
      <c r="K5" s="40"/>
      <c r="L5" s="41"/>
      <c r="M5" s="37" t="s">
        <v>3</v>
      </c>
      <c r="N5" s="43">
        <v>31</v>
      </c>
      <c r="O5" s="38"/>
      <c r="P5" s="38"/>
      <c r="Q5" s="15">
        <v>535.37</v>
      </c>
      <c r="R5" s="52">
        <f>+Q5</f>
        <v>535.37</v>
      </c>
      <c r="S5" s="40"/>
      <c r="T5" s="66"/>
    </row>
    <row r="6" spans="1:20" x14ac:dyDescent="0.2">
      <c r="A6" s="37" t="s">
        <v>5</v>
      </c>
      <c r="B6" s="43">
        <v>17</v>
      </c>
      <c r="C6" s="39">
        <v>22</v>
      </c>
      <c r="D6" s="38"/>
      <c r="E6" s="38"/>
      <c r="F6" s="51">
        <v>1104.5</v>
      </c>
      <c r="G6" s="52">
        <f>+F6</f>
        <v>1104.5</v>
      </c>
      <c r="H6" s="40">
        <f>C6*F6</f>
        <v>24299</v>
      </c>
      <c r="I6" s="40">
        <f>+H6</f>
        <v>24299</v>
      </c>
      <c r="J6" s="53">
        <f>(C6-B6)/B6</f>
        <v>0.29411764705882354</v>
      </c>
      <c r="K6" s="40"/>
      <c r="L6" s="41"/>
      <c r="M6" s="37" t="s">
        <v>5</v>
      </c>
      <c r="N6" s="43">
        <v>17</v>
      </c>
      <c r="O6" s="38"/>
      <c r="P6" s="38"/>
      <c r="Q6" s="15">
        <v>1070.75</v>
      </c>
      <c r="R6" s="52">
        <f>+Q6</f>
        <v>1070.75</v>
      </c>
      <c r="S6" s="40"/>
      <c r="T6" s="66"/>
    </row>
    <row r="7" spans="1:20" x14ac:dyDescent="0.2">
      <c r="A7" s="37" t="s">
        <v>12</v>
      </c>
      <c r="B7" s="43"/>
      <c r="C7" s="39">
        <v>3</v>
      </c>
      <c r="D7" s="38"/>
      <c r="E7" s="38"/>
      <c r="F7" s="51">
        <v>1070.68</v>
      </c>
      <c r="G7" s="52">
        <f>+F7</f>
        <v>1070.68</v>
      </c>
      <c r="H7" s="40">
        <f>C7*F7</f>
        <v>3212.04</v>
      </c>
      <c r="I7" s="40">
        <f>+H7</f>
        <v>3212.04</v>
      </c>
      <c r="J7" s="53"/>
      <c r="K7" s="40"/>
      <c r="L7" s="41"/>
      <c r="M7" s="37" t="s">
        <v>12</v>
      </c>
      <c r="N7" s="43"/>
      <c r="O7" s="38"/>
      <c r="P7" s="38"/>
      <c r="Q7" s="15">
        <f>+Q6</f>
        <v>1070.75</v>
      </c>
      <c r="R7" s="52">
        <f>+Q7</f>
        <v>1070.75</v>
      </c>
      <c r="S7" s="40"/>
      <c r="T7" s="66"/>
    </row>
    <row r="8" spans="1:20" x14ac:dyDescent="0.2">
      <c r="A8" s="37" t="s">
        <v>4</v>
      </c>
      <c r="B8" s="43">
        <v>28</v>
      </c>
      <c r="C8" s="39">
        <v>35</v>
      </c>
      <c r="D8" s="38"/>
      <c r="E8" s="38"/>
      <c r="F8" s="51">
        <v>1642.48</v>
      </c>
      <c r="G8" s="52">
        <f>+F8</f>
        <v>1642.48</v>
      </c>
      <c r="H8" s="40">
        <f>C8*F8</f>
        <v>57486.8</v>
      </c>
      <c r="I8" s="40">
        <f>+H8</f>
        <v>57486.8</v>
      </c>
      <c r="J8" s="53">
        <f>(C8-B8)/B8</f>
        <v>0.25</v>
      </c>
      <c r="K8" s="40"/>
      <c r="L8" s="41"/>
      <c r="M8" s="37" t="s">
        <v>4</v>
      </c>
      <c r="N8" s="43">
        <v>28</v>
      </c>
      <c r="O8" s="38"/>
      <c r="P8" s="38"/>
      <c r="Q8" s="15">
        <v>1542.92</v>
      </c>
      <c r="R8" s="52">
        <f>+Q8</f>
        <v>1542.92</v>
      </c>
      <c r="S8" s="40"/>
      <c r="T8" s="66"/>
    </row>
    <row r="9" spans="1:20" x14ac:dyDescent="0.2">
      <c r="A9" s="37"/>
      <c r="B9" s="54">
        <f>SUM(B5:B8)</f>
        <v>76</v>
      </c>
      <c r="C9" s="30">
        <f>SUM(C5:C8)</f>
        <v>103</v>
      </c>
      <c r="D9" s="38"/>
      <c r="E9" s="38"/>
      <c r="F9" s="51"/>
      <c r="G9" s="52"/>
      <c r="H9" s="30">
        <f>SUM(H5:H8)</f>
        <v>108739.86000000002</v>
      </c>
      <c r="I9" s="30">
        <f>SUM(I5:I8)</f>
        <v>108739.86000000002</v>
      </c>
      <c r="J9" s="55">
        <f>(C9-B9)/B9</f>
        <v>0.35526315789473684</v>
      </c>
      <c r="K9" s="40"/>
      <c r="L9" s="41"/>
      <c r="M9" s="37"/>
      <c r="N9" s="54">
        <f>SUM(N5:N8)</f>
        <v>76</v>
      </c>
      <c r="O9" s="38"/>
      <c r="P9" s="38"/>
      <c r="Q9" s="52">
        <f>SUMPRODUCT(Q5:Q8,$N$5:$N$8)</f>
        <v>78000.98000000001</v>
      </c>
      <c r="R9" s="52">
        <f>SUMPRODUCT(R5:R8,$N$5:$N$8)</f>
        <v>78000.98000000001</v>
      </c>
      <c r="S9" s="30"/>
      <c r="T9" s="67"/>
    </row>
    <row r="10" spans="1:20" x14ac:dyDescent="0.2">
      <c r="A10" s="42"/>
      <c r="B10" s="43"/>
      <c r="C10" s="44"/>
      <c r="D10" s="40"/>
      <c r="E10" s="40"/>
      <c r="F10" s="51"/>
      <c r="G10" s="52"/>
      <c r="H10" s="40"/>
      <c r="I10" s="40"/>
      <c r="J10" s="40"/>
      <c r="K10" s="40"/>
      <c r="L10" s="41"/>
      <c r="M10" s="42"/>
      <c r="N10" s="43"/>
      <c r="O10" s="40"/>
      <c r="P10" s="40"/>
      <c r="Q10" s="51"/>
      <c r="R10" s="52"/>
      <c r="S10" s="40"/>
      <c r="T10" s="41"/>
    </row>
    <row r="11" spans="1:20" x14ac:dyDescent="0.2">
      <c r="A11" s="46" t="s">
        <v>10</v>
      </c>
      <c r="B11" s="54"/>
      <c r="C11" s="30"/>
      <c r="D11" s="48"/>
      <c r="E11" s="48"/>
      <c r="F11" s="51"/>
      <c r="G11" s="52"/>
      <c r="H11" s="40"/>
      <c r="I11" s="40"/>
      <c r="J11" s="40"/>
      <c r="K11" s="40"/>
      <c r="L11" s="41"/>
      <c r="M11" s="46" t="s">
        <v>10</v>
      </c>
      <c r="N11" s="54"/>
      <c r="O11" s="48"/>
      <c r="P11" s="48"/>
      <c r="Q11" s="51"/>
      <c r="R11" s="52"/>
      <c r="S11" s="40"/>
      <c r="T11" s="41"/>
    </row>
    <row r="12" spans="1:20" x14ac:dyDescent="0.2">
      <c r="A12" s="37" t="s">
        <v>3</v>
      </c>
      <c r="B12" s="43">
        <v>21</v>
      </c>
      <c r="C12" s="39">
        <v>16</v>
      </c>
      <c r="D12" s="56">
        <v>250</v>
      </c>
      <c r="E12" s="56">
        <f>C12*D12</f>
        <v>4000</v>
      </c>
      <c r="F12" s="51">
        <v>496.37</v>
      </c>
      <c r="G12" s="52">
        <f>F12+(D12/12)</f>
        <v>517.20333333333338</v>
      </c>
      <c r="H12" s="40">
        <f>C12*F12</f>
        <v>7941.92</v>
      </c>
      <c r="I12" s="40">
        <f>+G12*C12</f>
        <v>8275.253333333334</v>
      </c>
      <c r="J12" s="53">
        <f>(C12-B12)/B12</f>
        <v>-0.23809523809523808</v>
      </c>
      <c r="K12" s="40"/>
      <c r="L12" s="41"/>
      <c r="M12" s="37" t="s">
        <v>3</v>
      </c>
      <c r="N12" s="43">
        <v>21</v>
      </c>
      <c r="O12" s="56">
        <v>750</v>
      </c>
      <c r="P12" s="56">
        <f>+N12*O12</f>
        <v>15750</v>
      </c>
      <c r="Q12" s="15">
        <v>495.31</v>
      </c>
      <c r="R12" s="52">
        <f>Q12+(O12/12)</f>
        <v>557.80999999999995</v>
      </c>
      <c r="S12" s="40"/>
      <c r="T12" s="66"/>
    </row>
    <row r="13" spans="1:20" x14ac:dyDescent="0.2">
      <c r="A13" s="37" t="s">
        <v>5</v>
      </c>
      <c r="B13" s="43">
        <v>21</v>
      </c>
      <c r="C13" s="39">
        <v>13</v>
      </c>
      <c r="D13" s="56">
        <v>500</v>
      </c>
      <c r="E13" s="56">
        <f>C13*D13</f>
        <v>6500</v>
      </c>
      <c r="F13" s="51">
        <v>912.39</v>
      </c>
      <c r="G13" s="52">
        <f>F13+(D13/12)</f>
        <v>954.05666666666662</v>
      </c>
      <c r="H13" s="40">
        <f>C13*F13</f>
        <v>11861.07</v>
      </c>
      <c r="I13" s="40">
        <f>+G13*C13</f>
        <v>12402.736666666666</v>
      </c>
      <c r="J13" s="53">
        <f>(C13-B13)/B13</f>
        <v>-0.38095238095238093</v>
      </c>
      <c r="K13" s="40"/>
      <c r="L13" s="41"/>
      <c r="M13" s="37" t="s">
        <v>5</v>
      </c>
      <c r="N13" s="43">
        <v>21</v>
      </c>
      <c r="O13" s="56">
        <v>1500</v>
      </c>
      <c r="P13" s="56">
        <f>+N13*O13</f>
        <v>31500</v>
      </c>
      <c r="Q13" s="15">
        <v>874.54</v>
      </c>
      <c r="R13" s="52">
        <f>Q13+(O13/12)</f>
        <v>999.54</v>
      </c>
      <c r="S13" s="40"/>
      <c r="T13" s="66"/>
    </row>
    <row r="14" spans="1:20" x14ac:dyDescent="0.2">
      <c r="A14" s="37" t="s">
        <v>12</v>
      </c>
      <c r="B14" s="43"/>
      <c r="C14" s="39">
        <v>4</v>
      </c>
      <c r="D14" s="56">
        <v>500</v>
      </c>
      <c r="E14" s="56">
        <f>C14*D14</f>
        <v>2000</v>
      </c>
      <c r="F14" s="51">
        <v>678.2</v>
      </c>
      <c r="G14" s="52">
        <f>F14+(D14/12)</f>
        <v>719.86666666666667</v>
      </c>
      <c r="H14" s="40">
        <f>C14*F14</f>
        <v>2712.8</v>
      </c>
      <c r="I14" s="40">
        <f>+G14*C14</f>
        <v>2879.4666666666667</v>
      </c>
      <c r="J14" s="53" t="e">
        <f>(C14-B14)/B14</f>
        <v>#DIV/0!</v>
      </c>
      <c r="K14" s="40"/>
      <c r="L14" s="41"/>
      <c r="M14" s="37" t="s">
        <v>12</v>
      </c>
      <c r="N14" s="43"/>
      <c r="O14" s="56">
        <v>1500</v>
      </c>
      <c r="P14" s="56">
        <f>+N14*O14</f>
        <v>0</v>
      </c>
      <c r="Q14" s="15">
        <f>+Q13</f>
        <v>874.54</v>
      </c>
      <c r="R14" s="52">
        <f>Q14+(O14/12)</f>
        <v>999.54</v>
      </c>
      <c r="S14" s="40"/>
      <c r="T14" s="66"/>
    </row>
    <row r="15" spans="1:20" x14ac:dyDescent="0.2">
      <c r="A15" s="37" t="s">
        <v>6</v>
      </c>
      <c r="B15" s="43">
        <v>21</v>
      </c>
      <c r="C15" s="39">
        <v>7</v>
      </c>
      <c r="D15" s="56">
        <v>500</v>
      </c>
      <c r="E15" s="56">
        <f>C15*D15</f>
        <v>3500</v>
      </c>
      <c r="F15" s="51">
        <v>1346.79</v>
      </c>
      <c r="G15" s="52">
        <f>F15+(D15/12)</f>
        <v>1388.4566666666667</v>
      </c>
      <c r="H15" s="40">
        <f>C15*F15</f>
        <v>9427.5299999999988</v>
      </c>
      <c r="I15" s="40">
        <f>+G15*C15</f>
        <v>9719.1966666666667</v>
      </c>
      <c r="J15" s="53">
        <f>(C15-B15)/B15</f>
        <v>-0.66666666666666663</v>
      </c>
      <c r="K15" s="40"/>
      <c r="L15" s="41"/>
      <c r="M15" s="37" t="s">
        <v>6</v>
      </c>
      <c r="N15" s="43">
        <v>21</v>
      </c>
      <c r="O15" s="56">
        <v>1500</v>
      </c>
      <c r="P15" s="56">
        <f>+N15*O15</f>
        <v>31500</v>
      </c>
      <c r="Q15" s="15">
        <v>1327.71</v>
      </c>
      <c r="R15" s="52">
        <f>Q15+(O15/12)</f>
        <v>1452.71</v>
      </c>
      <c r="S15" s="40"/>
      <c r="T15" s="66"/>
    </row>
    <row r="16" spans="1:20" x14ac:dyDescent="0.2">
      <c r="A16" s="37"/>
      <c r="B16" s="54">
        <f>SUM(B12:B15)</f>
        <v>63</v>
      </c>
      <c r="C16" s="30">
        <f>SUM(C12:C15)</f>
        <v>40</v>
      </c>
      <c r="D16" s="56"/>
      <c r="E16" s="56"/>
      <c r="F16" s="51"/>
      <c r="G16" s="52"/>
      <c r="H16" s="30">
        <f>SUM(H12:H15)</f>
        <v>31943.319999999996</v>
      </c>
      <c r="I16" s="30">
        <f>SUM(I12:I15)</f>
        <v>33276.653333333335</v>
      </c>
      <c r="J16" s="55">
        <f>(C16-B16)/B16</f>
        <v>-0.36507936507936506</v>
      </c>
      <c r="K16" s="40"/>
      <c r="L16" s="41"/>
      <c r="M16" s="37"/>
      <c r="N16" s="54">
        <f>SUM(N12:N15)</f>
        <v>63</v>
      </c>
      <c r="O16" s="56"/>
      <c r="P16" s="56"/>
      <c r="Q16" s="52">
        <f>SUMPRODUCT(Q12:Q15,$N$12:$N$15)</f>
        <v>56648.759999999995</v>
      </c>
      <c r="R16" s="52">
        <f>SUMPRODUCT(R12:R15,$N$12:$N$15)</f>
        <v>63211.259999999995</v>
      </c>
      <c r="S16" s="30"/>
      <c r="T16" s="67"/>
    </row>
    <row r="17" spans="1:20" x14ac:dyDescent="0.2">
      <c r="A17" s="42"/>
      <c r="B17" s="43"/>
      <c r="C17" s="44"/>
      <c r="D17" s="57"/>
      <c r="E17" s="57"/>
      <c r="F17" s="51"/>
      <c r="G17" s="52"/>
      <c r="H17" s="40"/>
      <c r="I17" s="40"/>
      <c r="J17" s="40"/>
      <c r="K17" s="40"/>
      <c r="L17" s="41"/>
      <c r="M17" s="42"/>
      <c r="N17" s="43"/>
      <c r="O17" s="57"/>
      <c r="P17" s="57"/>
      <c r="Q17" s="51"/>
      <c r="R17" s="52"/>
      <c r="S17" s="40"/>
      <c r="T17" s="41"/>
    </row>
    <row r="18" spans="1:20" x14ac:dyDescent="0.2">
      <c r="A18" s="46" t="s">
        <v>11</v>
      </c>
      <c r="B18" s="54"/>
      <c r="C18" s="30"/>
      <c r="D18" s="58"/>
      <c r="E18" s="58"/>
      <c r="F18" s="51"/>
      <c r="G18" s="52"/>
      <c r="H18" s="40"/>
      <c r="I18" s="40"/>
      <c r="J18" s="40"/>
      <c r="K18" s="40"/>
      <c r="L18" s="41"/>
      <c r="M18" s="46" t="s">
        <v>11</v>
      </c>
      <c r="N18" s="54"/>
      <c r="O18" s="58"/>
      <c r="P18" s="58"/>
      <c r="Q18" s="51"/>
      <c r="R18" s="52"/>
      <c r="S18" s="40"/>
      <c r="T18" s="41"/>
    </row>
    <row r="19" spans="1:20" x14ac:dyDescent="0.2">
      <c r="A19" s="37" t="s">
        <v>3</v>
      </c>
      <c r="B19" s="43">
        <v>39</v>
      </c>
      <c r="C19" s="39">
        <v>37</v>
      </c>
      <c r="D19" s="56">
        <v>750</v>
      </c>
      <c r="E19" s="56">
        <f>C19*D19</f>
        <v>27750</v>
      </c>
      <c r="F19" s="51">
        <v>442.08</v>
      </c>
      <c r="G19" s="52">
        <f>F19+(D19/12)</f>
        <v>504.58</v>
      </c>
      <c r="H19" s="40">
        <f>C19*F19</f>
        <v>16356.96</v>
      </c>
      <c r="I19" s="40">
        <f>+G19*C19</f>
        <v>18669.46</v>
      </c>
      <c r="J19" s="53">
        <f t="shared" ref="J19:J25" si="0">(C19-B19)/B19</f>
        <v>-5.128205128205128E-2</v>
      </c>
      <c r="K19" s="40"/>
      <c r="L19" s="41"/>
      <c r="M19" s="37" t="s">
        <v>3</v>
      </c>
      <c r="N19" s="43">
        <v>39</v>
      </c>
      <c r="O19" s="56">
        <v>1250</v>
      </c>
      <c r="P19" s="56">
        <f>+N19*O19</f>
        <v>48750</v>
      </c>
      <c r="Q19" s="15">
        <v>409.49</v>
      </c>
      <c r="R19" s="52">
        <f>Q19+(O19/12)</f>
        <v>513.65666666666664</v>
      </c>
      <c r="S19" s="40"/>
      <c r="T19" s="66"/>
    </row>
    <row r="20" spans="1:20" x14ac:dyDescent="0.2">
      <c r="A20" s="37" t="s">
        <v>5</v>
      </c>
      <c r="B20" s="43">
        <v>8</v>
      </c>
      <c r="C20" s="39">
        <v>10</v>
      </c>
      <c r="D20" s="56">
        <v>1500</v>
      </c>
      <c r="E20" s="56">
        <f>C20*D20</f>
        <v>15000</v>
      </c>
      <c r="F20" s="51">
        <v>780.73</v>
      </c>
      <c r="G20" s="52">
        <f>F20+(D20/12)</f>
        <v>905.73</v>
      </c>
      <c r="H20" s="40">
        <f>C20*F20</f>
        <v>7807.3</v>
      </c>
      <c r="I20" s="40">
        <f>+G20*C20</f>
        <v>9057.2999999999993</v>
      </c>
      <c r="J20" s="53">
        <f t="shared" si="0"/>
        <v>0.25</v>
      </c>
      <c r="K20" s="40"/>
      <c r="L20" s="41"/>
      <c r="M20" s="37" t="s">
        <v>5</v>
      </c>
      <c r="N20" s="43">
        <v>8</v>
      </c>
      <c r="O20" s="56">
        <v>2500</v>
      </c>
      <c r="P20" s="56">
        <f>+N20*O20</f>
        <v>20000</v>
      </c>
      <c r="Q20" s="15">
        <v>696.09</v>
      </c>
      <c r="R20" s="52">
        <f>Q20+(O20/12)</f>
        <v>904.4233333333334</v>
      </c>
      <c r="S20" s="40"/>
      <c r="T20" s="66"/>
    </row>
    <row r="21" spans="1:20" x14ac:dyDescent="0.2">
      <c r="A21" s="37" t="s">
        <v>12</v>
      </c>
      <c r="B21" s="43"/>
      <c r="C21" s="39">
        <v>2</v>
      </c>
      <c r="D21" s="56">
        <v>1500</v>
      </c>
      <c r="E21" s="56">
        <f>C21*D21</f>
        <v>3000</v>
      </c>
      <c r="F21" s="51">
        <v>580.44000000000005</v>
      </c>
      <c r="G21" s="52">
        <f>F21+(D21/12)</f>
        <v>705.44</v>
      </c>
      <c r="H21" s="40">
        <f>C21*F21</f>
        <v>1160.8800000000001</v>
      </c>
      <c r="I21" s="40">
        <f>+G21*C21</f>
        <v>1410.88</v>
      </c>
      <c r="J21" s="53" t="e">
        <f t="shared" si="0"/>
        <v>#DIV/0!</v>
      </c>
      <c r="K21" s="40"/>
      <c r="L21" s="41"/>
      <c r="M21" s="37" t="s">
        <v>12</v>
      </c>
      <c r="N21" s="43"/>
      <c r="O21" s="56">
        <v>2500</v>
      </c>
      <c r="P21" s="56">
        <f>+N21*O21</f>
        <v>0</v>
      </c>
      <c r="Q21" s="15">
        <f>+Q20</f>
        <v>696.09</v>
      </c>
      <c r="R21" s="52">
        <f>Q21+(O21/12)</f>
        <v>904.4233333333334</v>
      </c>
      <c r="S21" s="40"/>
      <c r="T21" s="66"/>
    </row>
    <row r="22" spans="1:20" x14ac:dyDescent="0.2">
      <c r="A22" s="37" t="s">
        <v>7</v>
      </c>
      <c r="B22" s="43">
        <v>19</v>
      </c>
      <c r="C22" s="39">
        <v>18</v>
      </c>
      <c r="D22" s="56">
        <v>1500</v>
      </c>
      <c r="E22" s="56">
        <f>C22*D22</f>
        <v>27000</v>
      </c>
      <c r="F22" s="51">
        <v>1151.51</v>
      </c>
      <c r="G22" s="52">
        <f>F22+(D22/12)</f>
        <v>1276.51</v>
      </c>
      <c r="H22" s="40">
        <f>C22*F22</f>
        <v>20727.18</v>
      </c>
      <c r="I22" s="40">
        <f>+G22*C22</f>
        <v>22977.18</v>
      </c>
      <c r="J22" s="53">
        <f t="shared" si="0"/>
        <v>-5.2631578947368418E-2</v>
      </c>
      <c r="K22" s="40"/>
      <c r="L22" s="41"/>
      <c r="M22" s="37" t="s">
        <v>7</v>
      </c>
      <c r="N22" s="43">
        <v>19</v>
      </c>
      <c r="O22" s="56">
        <v>2500</v>
      </c>
      <c r="P22" s="56">
        <f>+N22*O22</f>
        <v>47500</v>
      </c>
      <c r="Q22" s="15">
        <v>1062.9100000000001</v>
      </c>
      <c r="R22" s="52">
        <f>Q22+(O22/12)</f>
        <v>1271.2433333333333</v>
      </c>
      <c r="S22" s="40"/>
      <c r="T22" s="66"/>
    </row>
    <row r="23" spans="1:20" x14ac:dyDescent="0.2">
      <c r="A23" s="37"/>
      <c r="B23" s="54">
        <f>SUM(B19:B22)</f>
        <v>66</v>
      </c>
      <c r="C23" s="30">
        <f>SUM(C19:C22)</f>
        <v>67</v>
      </c>
      <c r="D23" s="56"/>
      <c r="E23" s="56"/>
      <c r="F23" s="40"/>
      <c r="G23" s="40"/>
      <c r="H23" s="30">
        <f>SUM(H19:H22)</f>
        <v>46052.32</v>
      </c>
      <c r="I23" s="30">
        <f>SUM(I19:I22)</f>
        <v>52114.82</v>
      </c>
      <c r="J23" s="55">
        <f t="shared" si="0"/>
        <v>1.5151515151515152E-2</v>
      </c>
      <c r="K23" s="40"/>
      <c r="L23" s="41"/>
      <c r="M23" s="37"/>
      <c r="N23" s="54">
        <f>SUM(N19:N22)</f>
        <v>66</v>
      </c>
      <c r="O23" s="56"/>
      <c r="P23" s="56"/>
      <c r="Q23" s="52">
        <f>SUMPRODUCT(Q19:Q22,$N$19:$N$22)</f>
        <v>41734.120000000003</v>
      </c>
      <c r="R23" s="52">
        <f>SUMPRODUCT(R19:R22,$N$19:$N$22)</f>
        <v>51421.619999999995</v>
      </c>
      <c r="S23" s="30"/>
      <c r="T23" s="67"/>
    </row>
    <row r="24" spans="1:20" x14ac:dyDescent="0.2">
      <c r="A24" s="37"/>
      <c r="B24" s="38"/>
      <c r="C24" s="39"/>
      <c r="D24" s="56"/>
      <c r="E24" s="56"/>
      <c r="F24" s="40"/>
      <c r="G24" s="40"/>
      <c r="H24" s="40"/>
      <c r="I24" s="40"/>
      <c r="J24" s="40"/>
      <c r="K24" s="40"/>
      <c r="L24" s="41"/>
      <c r="M24" s="37"/>
      <c r="N24" s="38"/>
      <c r="O24" s="56"/>
      <c r="P24" s="56"/>
      <c r="Q24" s="40"/>
      <c r="R24" s="40"/>
      <c r="S24" s="40"/>
      <c r="T24" s="41"/>
    </row>
    <row r="25" spans="1:20" x14ac:dyDescent="0.2">
      <c r="A25" s="37" t="s">
        <v>16</v>
      </c>
      <c r="B25" s="39">
        <f>B9+B16+B23</f>
        <v>205</v>
      </c>
      <c r="C25" s="39">
        <f>C9+C16+C23</f>
        <v>210</v>
      </c>
      <c r="D25" s="56"/>
      <c r="E25" s="56">
        <f>SUM(E12:E22)</f>
        <v>88750</v>
      </c>
      <c r="F25" s="40"/>
      <c r="G25" s="40"/>
      <c r="H25" s="59">
        <f>H9+H16+H23</f>
        <v>186735.50000000003</v>
      </c>
      <c r="I25" s="59">
        <f>I9+I16+I23</f>
        <v>194131.33333333337</v>
      </c>
      <c r="J25" s="55">
        <f t="shared" si="0"/>
        <v>2.4390243902439025E-2</v>
      </c>
      <c r="K25" s="40"/>
      <c r="L25" s="41"/>
      <c r="M25" s="37" t="s">
        <v>16</v>
      </c>
      <c r="N25" s="39">
        <f>N9+N16+N23</f>
        <v>205</v>
      </c>
      <c r="O25" s="56"/>
      <c r="P25" s="56">
        <f>SUM(P12:P22)</f>
        <v>195000</v>
      </c>
      <c r="Q25" s="72">
        <f>+Q23+Q16+Q9</f>
        <v>176383.86000000002</v>
      </c>
      <c r="R25" s="72">
        <f>+R23+R16+R9</f>
        <v>192633.86</v>
      </c>
      <c r="S25" s="59"/>
      <c r="T25" s="67"/>
    </row>
    <row r="26" spans="1:20" x14ac:dyDescent="0.2">
      <c r="A26" s="42"/>
      <c r="B26" s="40"/>
      <c r="C26" s="44"/>
      <c r="D26" s="40"/>
      <c r="E26" s="40"/>
      <c r="F26" s="40"/>
      <c r="G26" s="40"/>
      <c r="H26" s="40"/>
      <c r="I26" s="40"/>
      <c r="J26" s="40"/>
      <c r="K26" s="40"/>
      <c r="L26" s="41"/>
      <c r="M26" s="42"/>
      <c r="N26" s="40"/>
      <c r="O26" s="40"/>
      <c r="P26" s="40"/>
      <c r="Q26" s="71">
        <f>+H25-Q25</f>
        <v>10351.640000000014</v>
      </c>
      <c r="R26" s="40"/>
      <c r="S26" s="40"/>
      <c r="T26" s="41"/>
    </row>
    <row r="27" spans="1:20" x14ac:dyDescent="0.2">
      <c r="A27" s="46" t="s">
        <v>8</v>
      </c>
      <c r="B27" s="48"/>
      <c r="C27" s="30"/>
      <c r="D27" s="48"/>
      <c r="E27" s="73">
        <f>+E25-P25</f>
        <v>-106250</v>
      </c>
      <c r="F27" s="40"/>
      <c r="G27" s="40"/>
      <c r="H27" s="40"/>
      <c r="I27" s="40"/>
      <c r="J27" s="40"/>
      <c r="K27" s="40"/>
      <c r="L27" s="41"/>
      <c r="M27" s="42"/>
      <c r="N27" s="40"/>
      <c r="O27" s="40"/>
      <c r="P27" s="40"/>
      <c r="Q27" s="57">
        <f>+Q26*12</f>
        <v>124219.68000000017</v>
      </c>
      <c r="R27" s="40"/>
      <c r="S27" s="40"/>
      <c r="T27" s="41"/>
    </row>
    <row r="28" spans="1:20" x14ac:dyDescent="0.2">
      <c r="A28" s="37" t="s">
        <v>3</v>
      </c>
      <c r="B28" s="38"/>
      <c r="C28" s="39"/>
      <c r="D28" s="38"/>
      <c r="E28" s="38"/>
      <c r="F28" s="40"/>
      <c r="G28" s="40"/>
      <c r="H28" s="40"/>
      <c r="I28" s="40"/>
      <c r="J28" s="40"/>
      <c r="K28" s="40"/>
      <c r="L28" s="41"/>
      <c r="M28" s="42"/>
      <c r="N28" s="40"/>
      <c r="O28" s="40"/>
      <c r="P28" s="40"/>
      <c r="Q28" s="40"/>
      <c r="R28" s="40"/>
      <c r="S28" s="40"/>
      <c r="T28" s="41"/>
    </row>
    <row r="29" spans="1:20" x14ac:dyDescent="0.2">
      <c r="A29" s="37" t="s">
        <v>5</v>
      </c>
      <c r="B29" s="38"/>
      <c r="C29" s="39"/>
      <c r="D29" s="38"/>
      <c r="E29" s="38"/>
      <c r="F29" s="40"/>
      <c r="G29" s="40"/>
      <c r="H29" s="40"/>
      <c r="I29" s="40"/>
      <c r="J29" s="40"/>
      <c r="K29" s="40"/>
      <c r="L29" s="41"/>
      <c r="M29" s="42"/>
      <c r="N29" s="40"/>
      <c r="O29" s="40"/>
      <c r="P29" s="40"/>
      <c r="Q29" s="40"/>
      <c r="R29" s="40"/>
      <c r="S29" s="40"/>
      <c r="T29" s="41"/>
    </row>
    <row r="30" spans="1:20" x14ac:dyDescent="0.2">
      <c r="A30" s="37" t="s">
        <v>7</v>
      </c>
      <c r="B30" s="38"/>
      <c r="C30" s="39"/>
      <c r="D30" s="38"/>
      <c r="E30" s="38"/>
      <c r="F30" s="40"/>
      <c r="G30" s="40"/>
      <c r="H30" s="40"/>
      <c r="I30" s="40"/>
      <c r="J30" s="40"/>
      <c r="K30" s="40"/>
      <c r="L30" s="41"/>
      <c r="M30" s="42"/>
      <c r="N30" s="40"/>
      <c r="O30" s="40"/>
      <c r="P30" s="40"/>
      <c r="Q30" s="40"/>
      <c r="R30" s="71">
        <f>+I25-R25</f>
        <v>1497.4733333333861</v>
      </c>
      <c r="S30" s="40"/>
      <c r="T30" s="41"/>
    </row>
    <row r="31" spans="1:20" x14ac:dyDescent="0.2">
      <c r="A31" s="42"/>
      <c r="B31" s="40"/>
      <c r="C31" s="44"/>
      <c r="D31" s="40"/>
      <c r="E31" s="40"/>
      <c r="F31" s="40"/>
      <c r="G31" s="40"/>
      <c r="H31" s="40"/>
      <c r="I31" s="40"/>
      <c r="J31" s="40"/>
      <c r="K31" s="40"/>
      <c r="L31" s="41"/>
      <c r="M31" s="42"/>
      <c r="N31" s="40"/>
      <c r="O31" s="40"/>
      <c r="P31" s="40"/>
      <c r="Q31" s="40"/>
      <c r="R31" s="40">
        <f>+R30*12</f>
        <v>17969.680000000633</v>
      </c>
      <c r="S31" s="40"/>
      <c r="T31" s="41"/>
    </row>
    <row r="32" spans="1:20" x14ac:dyDescent="0.2">
      <c r="A32" s="46" t="s">
        <v>1</v>
      </c>
      <c r="B32" s="48"/>
      <c r="C32" s="30"/>
      <c r="D32" s="48"/>
      <c r="E32" s="48"/>
      <c r="F32" s="40"/>
      <c r="G32" s="40"/>
      <c r="H32" s="40"/>
      <c r="I32" s="40"/>
      <c r="J32" s="40"/>
      <c r="K32" s="40"/>
      <c r="L32" s="41"/>
      <c r="M32" s="42"/>
      <c r="N32" s="40"/>
      <c r="O32" s="40"/>
      <c r="P32" s="40"/>
      <c r="Q32" s="40"/>
      <c r="R32" s="40"/>
      <c r="S32" s="40"/>
      <c r="T32" s="41"/>
    </row>
    <row r="33" spans="1:20" x14ac:dyDescent="0.2">
      <c r="A33" s="37" t="s">
        <v>3</v>
      </c>
      <c r="B33" s="38"/>
      <c r="C33" s="39"/>
      <c r="D33" s="38"/>
      <c r="E33" s="38"/>
      <c r="F33" s="40"/>
      <c r="G33" s="40"/>
      <c r="H33" s="40"/>
      <c r="I33" s="40"/>
      <c r="J33" s="40"/>
      <c r="K33" s="40"/>
      <c r="L33" s="41"/>
      <c r="M33" s="42"/>
      <c r="N33" s="40"/>
      <c r="O33" s="40"/>
      <c r="P33" s="40"/>
      <c r="Q33" s="40"/>
      <c r="R33" s="40"/>
      <c r="S33" s="40"/>
      <c r="T33" s="41"/>
    </row>
    <row r="34" spans="1:20" x14ac:dyDescent="0.2">
      <c r="A34" s="37" t="s">
        <v>5</v>
      </c>
      <c r="B34" s="38"/>
      <c r="C34" s="39"/>
      <c r="D34" s="38"/>
      <c r="E34" s="38"/>
      <c r="F34" s="40"/>
      <c r="G34" s="40"/>
      <c r="H34" s="40"/>
      <c r="I34" s="40"/>
      <c r="J34" s="40"/>
      <c r="K34" s="40"/>
      <c r="L34" s="41"/>
      <c r="M34" s="42"/>
      <c r="N34" s="40"/>
      <c r="O34" s="40"/>
      <c r="P34" s="40"/>
      <c r="Q34" s="40"/>
      <c r="R34" s="40"/>
      <c r="S34" s="40"/>
      <c r="T34" s="41"/>
    </row>
    <row r="35" spans="1:20" ht="13.5" thickBot="1" x14ac:dyDescent="0.25">
      <c r="A35" s="60" t="s">
        <v>7</v>
      </c>
      <c r="B35" s="61"/>
      <c r="C35" s="62"/>
      <c r="D35" s="61"/>
      <c r="E35" s="61"/>
      <c r="F35" s="63"/>
      <c r="G35" s="63"/>
      <c r="H35" s="63"/>
      <c r="I35" s="63"/>
      <c r="J35" s="63"/>
      <c r="K35" s="63"/>
      <c r="L35" s="64"/>
      <c r="M35" s="68"/>
      <c r="N35" s="63"/>
      <c r="O35" s="63"/>
      <c r="P35" s="63"/>
      <c r="Q35" s="63"/>
      <c r="R35" s="63"/>
      <c r="S35" s="63"/>
      <c r="T35" s="64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980BFF797C8A43A29EDC5A666CCEBB" ma:contentTypeVersion="18" ma:contentTypeDescription="Create a new document." ma:contentTypeScope="" ma:versionID="c6672b3205b61a556431eb4d93de90fe">
  <xsd:schema xmlns:xsd="http://www.w3.org/2001/XMLSchema" xmlns:xs="http://www.w3.org/2001/XMLSchema" xmlns:p="http://schemas.microsoft.com/office/2006/metadata/properties" xmlns:ns2="df5f1c64-a2d3-4332-9f8d-c8619b2cba23" xmlns:ns3="0a71efb1-5250-41f9-9a5a-0cbae10a56dd" targetNamespace="http://schemas.microsoft.com/office/2006/metadata/properties" ma:root="true" ma:fieldsID="944809128d24bc02b8db4afc9074067b" ns2:_="" ns3:_="">
    <xsd:import namespace="df5f1c64-a2d3-4332-9f8d-c8619b2cba23"/>
    <xsd:import namespace="0a71efb1-5250-41f9-9a5a-0cbae10a56dd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f1c64-a2d3-4332-9f8d-c8619b2cba23" elementFormDefault="qualified">
    <xsd:import namespace="http://schemas.microsoft.com/office/2006/documentManagement/types"/>
    <xsd:import namespace="http://schemas.microsoft.com/office/infopath/2007/PartnerControls"/>
    <xsd:element name="test" ma:index="2" nillable="true" ma:displayName="test" ma:format="DateTime" ma:internalName="test" ma:readOnly="fals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8fdedc-b272-477a-bf77-2e9ca0abd3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1efb1-5250-41f9-9a5a-0cbae10a56d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48a27664-d785-459c-ac4e-4a0a4e033b04}" ma:internalName="TaxCatchAll" ma:readOnly="false" ma:showField="CatchAllData" ma:web="0a71efb1-5250-41f9-9a5a-0cbae10a5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df5f1c64-a2d3-4332-9f8d-c8619b2cba23" xsi:nil="true"/>
    <TaxCatchAll xmlns="0a71efb1-5250-41f9-9a5a-0cbae10a56dd" xsi:nil="true"/>
    <lcf76f155ced4ddcb4097134ff3c332f xmlns="df5f1c64-a2d3-4332-9f8d-c8619b2cba23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B8F16-0144-47E9-9B01-C8B910888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f1c64-a2d3-4332-9f8d-c8619b2cba23"/>
    <ds:schemaRef ds:uri="0a71efb1-5250-41f9-9a5a-0cbae10a5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17E93-67AA-42CF-B287-A829398F3A2A}">
  <ds:schemaRefs>
    <ds:schemaRef ds:uri="http://schemas.microsoft.com/office/2006/metadata/properties"/>
    <ds:schemaRef ds:uri="http://schemas.microsoft.com/office/infopath/2007/PartnerControls"/>
    <ds:schemaRef ds:uri="df5f1c64-a2d3-4332-9f8d-c8619b2cba23"/>
    <ds:schemaRef ds:uri="0a71efb1-5250-41f9-9a5a-0cbae10a56dd"/>
  </ds:schemaRefs>
</ds:datastoreItem>
</file>

<file path=customXml/itemProps3.xml><?xml version="1.0" encoding="utf-8"?>
<ds:datastoreItem xmlns:ds="http://schemas.openxmlformats.org/officeDocument/2006/customXml" ds:itemID="{57502310-6461-4385-B6D0-4C9EF5749D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B079AB1-31FF-46D5-B7C4-629279A726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2022</vt:lpstr>
      <vt:lpstr>2021</vt:lpstr>
      <vt:lpstr>2020</vt:lpstr>
      <vt:lpstr>Calc Sheet 2014 (2)</vt:lpstr>
      <vt:lpstr>Calc Sheet 2014</vt:lpstr>
      <vt:lpstr>'2020'!Print_Area</vt:lpstr>
      <vt:lpstr>'2021'!Print_Area</vt:lpstr>
      <vt:lpstr>'2022'!Print_Area</vt:lpstr>
    </vt:vector>
  </TitlesOfParts>
  <Company>The Richards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716</dc:creator>
  <cp:lastModifiedBy>Keefe, Johanna</cp:lastModifiedBy>
  <cp:lastPrinted>2022-05-24T16:06:44Z</cp:lastPrinted>
  <dcterms:created xsi:type="dcterms:W3CDTF">2010-01-11T21:34:50Z</dcterms:created>
  <dcterms:modified xsi:type="dcterms:W3CDTF">2022-07-27T15:24:39Z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Ploof, Betsy</vt:lpwstr>
  </property>
  <property fmtid="{D5CDD505-2E9C-101B-9397-08002B2CF9AE}" pid="3" name="Order">
    <vt:lpwstr>4100200.00000000</vt:lpwstr>
  </property>
  <property fmtid="{D5CDD505-2E9C-101B-9397-08002B2CF9AE}" pid="4" name="display_urn:schemas-microsoft-com:office:office#Author">
    <vt:lpwstr>Ploof, Betsy</vt:lpwstr>
  </property>
  <property fmtid="{D5CDD505-2E9C-101B-9397-08002B2CF9AE}" pid="5" name="ContentTypeId">
    <vt:lpwstr>0x0101000B980BFF797C8A43A29EDC5A666CCEBB</vt:lpwstr>
  </property>
  <property fmtid="{D5CDD505-2E9C-101B-9397-08002B2CF9AE}" pid="6" name="MediaServiceImageTags">
    <vt:lpwstr/>
  </property>
</Properties>
</file>