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L:\4-Accounts (Outside SBU)\1-Active accounts\Silver Forest\1-21 renewals\Medical\"/>
    </mc:Choice>
  </mc:AlternateContent>
  <xr:revisionPtr revIDLastSave="0" documentId="13_ncr:1_{251901DE-1EDF-4069-AAA4-3861DD344AC9}" xr6:coauthVersionLast="44" xr6:coauthVersionMax="44" xr10:uidLastSave="{00000000-0000-0000-0000-000000000000}"/>
  <bookViews>
    <workbookView xWindow="24456" yWindow="348" windowWidth="18720" windowHeight="12084" tabRatio="795" xr2:uid="{00000000-000D-0000-FFFF-FFFF00000000}"/>
  </bookViews>
  <sheets>
    <sheet name="MVP 2021 renewal" sheetId="6" r:id="rId1"/>
    <sheet name="Cost history" sheetId="7" r:id="rId2"/>
    <sheet name="Gold, 3 options" sheetId="8" r:id="rId3"/>
    <sheet name="Gold, HRA, no HRA" sheetId="9" r:id="rId4"/>
  </sheets>
  <definedNames>
    <definedName name="_xlnm.Print_Area" localSheetId="0">'MVP 2021 renewal'!$B$1:$G$69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64" i="6" l="1"/>
  <c r="H34" i="6"/>
  <c r="O22" i="7"/>
  <c r="O10" i="7"/>
  <c r="O13" i="7"/>
  <c r="O16" i="7"/>
  <c r="O19" i="7"/>
  <c r="H22" i="7"/>
  <c r="K22" i="7"/>
  <c r="G22" i="7"/>
  <c r="E45" i="6" l="1"/>
  <c r="M25" i="7"/>
  <c r="H25" i="7"/>
  <c r="J25" i="7"/>
  <c r="I25" i="7"/>
  <c r="L64" i="6"/>
  <c r="L65" i="6"/>
  <c r="I57" i="6"/>
  <c r="M65" i="6" s="1"/>
  <c r="I59" i="6"/>
  <c r="I58" i="6"/>
  <c r="D45" i="6"/>
  <c r="H67" i="6"/>
  <c r="G62" i="6"/>
  <c r="F65" i="6"/>
  <c r="E61" i="6"/>
  <c r="E69" i="6" s="1"/>
  <c r="E60" i="6"/>
  <c r="E59" i="6"/>
  <c r="E58" i="6"/>
  <c r="E57" i="6"/>
  <c r="E62" i="6" s="1"/>
  <c r="F69" i="6"/>
  <c r="D69" i="6"/>
  <c r="G65" i="6"/>
  <c r="H66" i="6"/>
  <c r="H65" i="6"/>
  <c r="H68" i="6"/>
  <c r="H37" i="6"/>
  <c r="H36" i="6"/>
  <c r="H35" i="6"/>
  <c r="G66" i="6"/>
  <c r="G68" i="6"/>
  <c r="G67" i="6"/>
  <c r="F62" i="6" l="1"/>
  <c r="I60" i="6"/>
  <c r="H62" i="6"/>
  <c r="H38" i="6"/>
  <c r="H50" i="6" l="1"/>
  <c r="H54" i="6" s="1"/>
  <c r="F35" i="6"/>
  <c r="F34" i="6"/>
  <c r="F36" i="6"/>
  <c r="G37" i="6"/>
  <c r="E37" i="6"/>
  <c r="D37" i="6"/>
  <c r="G36" i="6"/>
  <c r="G35" i="6"/>
  <c r="G34" i="6"/>
  <c r="E46" i="6"/>
  <c r="D44" i="6"/>
  <c r="D34" i="6"/>
  <c r="E34" i="6"/>
  <c r="G38" i="6" l="1"/>
  <c r="G50" i="6" s="1"/>
  <c r="G54" i="6" s="1"/>
  <c r="F45" i="6"/>
  <c r="I22" i="7" l="1"/>
  <c r="K25" i="7"/>
  <c r="D36" i="6" l="1"/>
  <c r="D35" i="6"/>
  <c r="F46" i="6" l="1"/>
  <c r="F66" i="6"/>
  <c r="C62" i="6"/>
  <c r="F44" i="6"/>
  <c r="E44" i="6"/>
  <c r="F37" i="6"/>
  <c r="E36" i="6"/>
  <c r="E35" i="6"/>
  <c r="D62" i="6" l="1"/>
  <c r="I61" i="9"/>
  <c r="E37" i="9"/>
  <c r="G55" i="9"/>
  <c r="D52" i="9"/>
  <c r="C52" i="9"/>
  <c r="E30" i="9"/>
  <c r="E29" i="9"/>
  <c r="E28" i="9"/>
  <c r="E27" i="9"/>
  <c r="G27" i="9"/>
  <c r="I55" i="9" l="1"/>
  <c r="J51" i="9"/>
  <c r="J48" i="9"/>
  <c r="J50" i="9" l="1"/>
  <c r="J49" i="9"/>
  <c r="F51" i="9"/>
  <c r="F50" i="9"/>
  <c r="F49" i="9"/>
  <c r="F48" i="9"/>
  <c r="H51" i="9"/>
  <c r="H50" i="9"/>
  <c r="H49" i="9"/>
  <c r="H48" i="9"/>
  <c r="I58" i="9"/>
  <c r="I57" i="9"/>
  <c r="I56" i="9"/>
  <c r="I52" i="9"/>
  <c r="G52" i="9"/>
  <c r="E52" i="9"/>
  <c r="G37" i="9"/>
  <c r="F38" i="9"/>
  <c r="F35" i="9" s="1"/>
  <c r="G61" i="9" s="1"/>
  <c r="G57" i="9"/>
  <c r="E36" i="9"/>
  <c r="E58" i="9" s="1"/>
  <c r="E35" i="9"/>
  <c r="E55" i="9" s="1"/>
  <c r="C31" i="9"/>
  <c r="I64" i="9"/>
  <c r="G30" i="9"/>
  <c r="I63" i="9"/>
  <c r="G29" i="9"/>
  <c r="I62" i="9"/>
  <c r="G28" i="9"/>
  <c r="D39" i="8"/>
  <c r="G31" i="9" l="1"/>
  <c r="G40" i="9" s="1"/>
  <c r="G56" i="9"/>
  <c r="G58" i="9"/>
  <c r="E31" i="9"/>
  <c r="I31" i="9"/>
  <c r="F36" i="9"/>
  <c r="E62" i="9" s="1"/>
  <c r="E56" i="9"/>
  <c r="E57" i="9"/>
  <c r="G50" i="8"/>
  <c r="F50" i="8"/>
  <c r="M22" i="7"/>
  <c r="K19" i="7"/>
  <c r="K16" i="7"/>
  <c r="K13" i="7"/>
  <c r="K10" i="7"/>
  <c r="K7" i="7"/>
  <c r="G42" i="9" l="1"/>
  <c r="G43" i="9" s="1"/>
  <c r="G46" i="9" s="1"/>
  <c r="E61" i="9"/>
  <c r="I32" i="9"/>
  <c r="I33" i="9" s="1"/>
  <c r="I42" i="9"/>
  <c r="I43" i="9" s="1"/>
  <c r="I40" i="9"/>
  <c r="G62" i="9"/>
  <c r="G63" i="9"/>
  <c r="E42" i="9"/>
  <c r="E43" i="9" s="1"/>
  <c r="E40" i="9"/>
  <c r="G64" i="9"/>
  <c r="G32" i="9"/>
  <c r="G33" i="9" s="1"/>
  <c r="E64" i="9"/>
  <c r="E63" i="9"/>
  <c r="G59" i="8"/>
  <c r="G65" i="8"/>
  <c r="G66" i="8"/>
  <c r="G67" i="8"/>
  <c r="G68" i="8"/>
  <c r="F68" i="8"/>
  <c r="F67" i="8"/>
  <c r="F66" i="8"/>
  <c r="F65" i="8"/>
  <c r="F60" i="8"/>
  <c r="F59" i="8"/>
  <c r="F46" i="8"/>
  <c r="F47" i="8"/>
  <c r="E46" i="8"/>
  <c r="G44" i="8"/>
  <c r="G41" i="8"/>
  <c r="G37" i="8"/>
  <c r="G36" i="8"/>
  <c r="G35" i="8"/>
  <c r="G34" i="8"/>
  <c r="G33" i="8"/>
  <c r="G32" i="8"/>
  <c r="G31" i="8"/>
  <c r="E46" i="9" l="1"/>
  <c r="G44" i="9"/>
  <c r="G45" i="9" s="1"/>
  <c r="I44" i="9"/>
  <c r="I45" i="9" s="1"/>
  <c r="I46" i="9"/>
  <c r="E56" i="8"/>
  <c r="F56" i="8"/>
  <c r="G62" i="8"/>
  <c r="G56" i="8"/>
  <c r="C62" i="8"/>
  <c r="C56" i="8"/>
  <c r="F62" i="8"/>
  <c r="F61" i="8"/>
  <c r="E41" i="8"/>
  <c r="C41" i="8"/>
  <c r="D42" i="8" s="1"/>
  <c r="E40" i="8"/>
  <c r="E61" i="8" s="1"/>
  <c r="C40" i="8"/>
  <c r="C60" i="8" s="1"/>
  <c r="E39" i="8"/>
  <c r="E59" i="8" s="1"/>
  <c r="C39" i="8"/>
  <c r="C59" i="8" s="1"/>
  <c r="B35" i="8"/>
  <c r="F34" i="8"/>
  <c r="E34" i="8"/>
  <c r="C34" i="8"/>
  <c r="F33" i="8"/>
  <c r="E33" i="8"/>
  <c r="C33" i="8"/>
  <c r="F32" i="8"/>
  <c r="E32" i="8"/>
  <c r="C32" i="8"/>
  <c r="F31" i="8"/>
  <c r="E31" i="8"/>
  <c r="C31" i="8"/>
  <c r="C65" i="8" l="1"/>
  <c r="E65" i="8"/>
  <c r="G46" i="8"/>
  <c r="G47" i="8" s="1"/>
  <c r="G60" i="8"/>
  <c r="G61" i="8"/>
  <c r="C68" i="8"/>
  <c r="C35" i="8"/>
  <c r="E60" i="8"/>
  <c r="E35" i="8"/>
  <c r="F35" i="8"/>
  <c r="C61" i="8"/>
  <c r="E62" i="8"/>
  <c r="D40" i="8"/>
  <c r="C66" i="8" s="1"/>
  <c r="D37" i="7"/>
  <c r="M16" i="7"/>
  <c r="M10" i="7"/>
  <c r="M19" i="7"/>
  <c r="M13" i="7"/>
  <c r="M7" i="7"/>
  <c r="G13" i="7"/>
  <c r="G7" i="7"/>
  <c r="I7" i="7"/>
  <c r="H10" i="7"/>
  <c r="E66" i="8" l="1"/>
  <c r="C44" i="8"/>
  <c r="C46" i="8"/>
  <c r="C47" i="8" s="1"/>
  <c r="G48" i="8" s="1"/>
  <c r="G49" i="8" s="1"/>
  <c r="F44" i="8"/>
  <c r="F48" i="8"/>
  <c r="F36" i="8"/>
  <c r="F37" i="8" s="1"/>
  <c r="E68" i="8"/>
  <c r="E67" i="8"/>
  <c r="E36" i="8"/>
  <c r="E37" i="8" s="1"/>
  <c r="E47" i="8"/>
  <c r="E44" i="8"/>
  <c r="C67" i="8"/>
  <c r="H19" i="7"/>
  <c r="I19" i="7" s="1"/>
  <c r="G19" i="7"/>
  <c r="H16" i="7"/>
  <c r="I16" i="7" s="1"/>
  <c r="G16" i="7"/>
  <c r="H13" i="7"/>
  <c r="I13" i="7" s="1"/>
  <c r="I10" i="7"/>
  <c r="G10" i="7"/>
  <c r="C50" i="8" l="1"/>
  <c r="E50" i="8"/>
  <c r="E48" i="8"/>
  <c r="E49" i="8" s="1"/>
  <c r="F49" i="8"/>
  <c r="F68" i="6"/>
  <c r="F38" i="6" l="1"/>
  <c r="F47" i="6" s="1"/>
  <c r="F67" i="6"/>
  <c r="D38" i="6" l="1"/>
  <c r="E38" i="6"/>
  <c r="F50" i="6"/>
  <c r="E43" i="6"/>
  <c r="D43" i="6"/>
  <c r="E42" i="6"/>
  <c r="E65" i="6" s="1"/>
  <c r="D42" i="6"/>
  <c r="D65" i="6" s="1"/>
  <c r="C38" i="6"/>
  <c r="E47" i="6" l="1"/>
  <c r="E50" i="6"/>
  <c r="H39" i="6"/>
  <c r="H40" i="6" s="1"/>
  <c r="D47" i="6"/>
  <c r="F48" i="6" s="1"/>
  <c r="D50" i="6"/>
  <c r="D66" i="6"/>
  <c r="D68" i="6"/>
  <c r="E51" i="6"/>
  <c r="E54" i="6" s="1"/>
  <c r="F39" i="6"/>
  <c r="F40" i="6" s="1"/>
  <c r="G39" i="6"/>
  <c r="G40" i="6" s="1"/>
  <c r="D51" i="6"/>
  <c r="E39" i="6"/>
  <c r="E40" i="6" s="1"/>
  <c r="E67" i="6"/>
  <c r="F51" i="6"/>
  <c r="F54" i="6" s="1"/>
  <c r="E66" i="6"/>
  <c r="D67" i="6"/>
  <c r="E68" i="6"/>
  <c r="E48" i="6" l="1"/>
  <c r="E52" i="6"/>
  <c r="E53" i="6" s="1"/>
  <c r="D54" i="6"/>
  <c r="F52" i="6"/>
  <c r="F53" i="6" s="1"/>
</calcChain>
</file>

<file path=xl/sharedStrings.xml><?xml version="1.0" encoding="utf-8"?>
<sst xmlns="http://schemas.openxmlformats.org/spreadsheetml/2006/main" count="450" uniqueCount="148">
  <si>
    <t>Deductible/OOP Max</t>
  </si>
  <si>
    <t>Medical Ded</t>
  </si>
  <si>
    <t>Rx Ded</t>
  </si>
  <si>
    <t>Combined</t>
  </si>
  <si>
    <t>Integrated Ded</t>
  </si>
  <si>
    <t>Yes</t>
  </si>
  <si>
    <t>Medical OOPM</t>
  </si>
  <si>
    <t>Rx OOPM</t>
  </si>
  <si>
    <t>Integrated OOPM</t>
  </si>
  <si>
    <t>Family Deductible / OOP</t>
  </si>
  <si>
    <t>Medical Deductible waived for:</t>
  </si>
  <si>
    <t>Service Category</t>
  </si>
  <si>
    <t>Preventive</t>
  </si>
  <si>
    <t>Specialist Office Visit</t>
  </si>
  <si>
    <t>Radiology (MRI, CT, PET)</t>
  </si>
  <si>
    <t>Rx Generic</t>
  </si>
  <si>
    <t>Pediatric Vision (Exam and Materials)</t>
  </si>
  <si>
    <t>Pediatric Dental Class I</t>
  </si>
  <si>
    <t>Pediatric Dental Class II</t>
  </si>
  <si>
    <t>Pediatric Dental Class III</t>
  </si>
  <si>
    <t>$1,350/$2,700</t>
  </si>
  <si>
    <t>INDIVIDUAL</t>
  </si>
  <si>
    <t>TWO PERSON</t>
  </si>
  <si>
    <t>ADULT+CHILD(REN)</t>
  </si>
  <si>
    <t>FAMILY</t>
  </si>
  <si>
    <t>Deductible, then 0%</t>
  </si>
  <si>
    <t>GOLD 3 CDHP</t>
  </si>
  <si>
    <t>Single OOP Maximum</t>
  </si>
  <si>
    <t>Family OOP Maximum</t>
  </si>
  <si>
    <t>Annual Employee Contribution</t>
  </si>
  <si>
    <t>SF Premium Contribution:</t>
  </si>
  <si>
    <t xml:space="preserve">  TOTAL</t>
  </si>
  <si>
    <t>Employee Weekly  Deductions</t>
  </si>
  <si>
    <t>Single Maximum</t>
  </si>
  <si>
    <t>Family Maximum</t>
  </si>
  <si>
    <t>Total Maximum Liability:</t>
  </si>
  <si>
    <t>HRA Maximum Liability</t>
  </si>
  <si>
    <t>Silver Forest of Vermont</t>
  </si>
  <si>
    <t>Premiums:</t>
  </si>
  <si>
    <r>
      <t xml:space="preserve">Difference from Current </t>
    </r>
    <r>
      <rPr>
        <b/>
        <sz val="16"/>
        <color rgb="FFC00000"/>
        <rFont val="Calibri"/>
        <family val="2"/>
        <scheme val="minor"/>
      </rPr>
      <t>GOLD CDHP Plan Premium</t>
    </r>
  </si>
  <si>
    <t>Difference</t>
  </si>
  <si>
    <t>$2,700/$5,400</t>
  </si>
  <si>
    <t>Preventive care, wellness drugs</t>
  </si>
  <si>
    <t>Non-Standard</t>
  </si>
  <si>
    <t>One Individual in a Family Maximum</t>
  </si>
  <si>
    <t>Aggregate Ded, OOP</t>
  </si>
  <si>
    <t>Rx Preferred Brand / Non-Pref. Brand</t>
  </si>
  <si>
    <t>Ded, then 0%</t>
  </si>
  <si>
    <t>Silver Forest Out-of-Pocket Cost:</t>
  </si>
  <si>
    <t>Ded, then 0% / 0%</t>
  </si>
  <si>
    <t>2019 Current Plan</t>
  </si>
  <si>
    <t>$1,400/$2,800</t>
  </si>
  <si>
    <r>
      <t>MVP HRA Admin. Fee:</t>
    </r>
    <r>
      <rPr>
        <b/>
        <sz val="11"/>
        <color theme="0"/>
        <rFont val="Calibri"/>
        <family val="2"/>
        <scheme val="minor"/>
      </rPr>
      <t xml:space="preserve"> $0</t>
    </r>
  </si>
  <si>
    <t>same plan</t>
  </si>
  <si>
    <t>Broker comp. $17.50 pepm, no change last 3 years</t>
  </si>
  <si>
    <t>HRA Funding:</t>
  </si>
  <si>
    <t>Employee OOP:</t>
  </si>
  <si>
    <t>Ees:</t>
  </si>
  <si>
    <t>% total</t>
  </si>
  <si>
    <t>Total Paid Claims</t>
  </si>
  <si>
    <t>$0 Claims</t>
  </si>
  <si>
    <t>Spent all HRA $</t>
  </si>
  <si>
    <t>Silver Forest</t>
  </si>
  <si>
    <t>$2,500 / $5,000</t>
  </si>
  <si>
    <t>1st 8 mo. Claims</t>
  </si>
  <si>
    <t>Last 4 mo. Claims</t>
  </si>
  <si>
    <t>$1,000 / $2,000</t>
  </si>
  <si>
    <t>$2,400 / $4,800</t>
  </si>
  <si>
    <t>Max Claim Liability</t>
  </si>
  <si>
    <t>MVP</t>
  </si>
  <si>
    <t>Cigna</t>
  </si>
  <si>
    <t>$2,700 / $5,400</t>
  </si>
  <si>
    <t>change</t>
  </si>
  <si>
    <t>&lt; $1000 claims</t>
  </si>
  <si>
    <t>$1001 - $2699</t>
  </si>
  <si>
    <t>$2700+</t>
  </si>
  <si>
    <t>$2701 - $5399</t>
  </si>
  <si>
    <t>$5400+</t>
  </si>
  <si>
    <t>HRA Claims / Cost History</t>
  </si>
  <si>
    <t>Urgent Care / ER / DME / Ambulance</t>
  </si>
  <si>
    <t>Outpatient / Inpatient</t>
  </si>
  <si>
    <t>PCP / MH / SA Office Visit</t>
  </si>
  <si>
    <t>SF Premium + Estimate HRA:</t>
  </si>
  <si>
    <t>Total Billed Premium + Estimate HRA:</t>
  </si>
  <si>
    <t>SF Portion of Total Cost:</t>
  </si>
  <si>
    <r>
      <t>2020</t>
    </r>
    <r>
      <rPr>
        <b/>
        <sz val="18"/>
        <color rgb="FFC00000"/>
        <rFont val="Calibri"/>
        <family val="2"/>
        <scheme val="minor"/>
      </rPr>
      <t xml:space="preserve"> MVP</t>
    </r>
    <r>
      <rPr>
        <b/>
        <sz val="18"/>
        <rFont val="Calibri"/>
        <family val="2"/>
        <scheme val="minor"/>
      </rPr>
      <t xml:space="preserve"> Current </t>
    </r>
    <r>
      <rPr>
        <b/>
        <sz val="18"/>
        <color rgb="FFC00000"/>
        <rFont val="Calibri"/>
        <family val="2"/>
        <scheme val="minor"/>
      </rPr>
      <t xml:space="preserve">Gold </t>
    </r>
    <r>
      <rPr>
        <b/>
        <sz val="18"/>
        <rFont val="Calibri"/>
        <family val="2"/>
        <scheme val="minor"/>
      </rPr>
      <t>Plan Renewal - 3 Employee Choices</t>
    </r>
  </si>
  <si>
    <t>2020 - 100% HRA</t>
  </si>
  <si>
    <t>2020 no HRA</t>
  </si>
  <si>
    <t>$40x52/.0986 = $21,095</t>
  </si>
  <si>
    <t>Bronze 3 CDHP</t>
  </si>
  <si>
    <t>Standard</t>
  </si>
  <si>
    <t>$5,550/$11,000</t>
  </si>
  <si>
    <t>$6,750/$13,500</t>
  </si>
  <si>
    <t>Ded, then 50%</t>
  </si>
  <si>
    <t>Ded, then $12</t>
  </si>
  <si>
    <t>Ded, then 40% / 60%</t>
  </si>
  <si>
    <t xml:space="preserve"> 2020 Bronze, no HRA</t>
  </si>
  <si>
    <t>$20x52/.0986 = $10,548</t>
  </si>
  <si>
    <t>Employee Premium &amp; Plan Out-of-Pocket Potential:</t>
  </si>
  <si>
    <t>SF Total Cost/EE*</t>
  </si>
  <si>
    <t>rx only, after ded.</t>
  </si>
  <si>
    <t>Claim Cost/EE</t>
  </si>
  <si>
    <t xml:space="preserve">                    * Includes fixed costs of premium and administration</t>
  </si>
  <si>
    <r>
      <t>Estimated HRA Claims</t>
    </r>
    <r>
      <rPr>
        <b/>
        <sz val="11"/>
        <color theme="0"/>
        <rFont val="Calibri"/>
        <family val="2"/>
        <scheme val="minor"/>
      </rPr>
      <t xml:space="preserve"> ($45,677 thru 9-30-19)</t>
    </r>
  </si>
  <si>
    <t>SF HRA Cost PEPY</t>
  </si>
  <si>
    <t>EE annual premium</t>
  </si>
  <si>
    <t>Rx Generic/Pref Brand/NonPref Brand</t>
  </si>
  <si>
    <t>Ded, then 0%/0%/0%</t>
  </si>
  <si>
    <t>Radiology (MRI, CT, PET), IP, OP</t>
  </si>
  <si>
    <t>Integrated Ded, OOPM</t>
  </si>
  <si>
    <t>$50x52/.0986 = $26,369</t>
  </si>
  <si>
    <r>
      <t>2021</t>
    </r>
    <r>
      <rPr>
        <b/>
        <sz val="16"/>
        <color rgb="FFC00000"/>
        <rFont val="Calibri"/>
        <family val="2"/>
        <scheme val="minor"/>
      </rPr>
      <t xml:space="preserve"> MVP</t>
    </r>
    <r>
      <rPr>
        <b/>
        <sz val="16"/>
        <rFont val="Calibri"/>
        <family val="2"/>
        <scheme val="minor"/>
      </rPr>
      <t xml:space="preserve"> Current </t>
    </r>
    <r>
      <rPr>
        <b/>
        <sz val="16"/>
        <color rgb="FFC00000"/>
        <rFont val="Calibri"/>
        <family val="2"/>
        <scheme val="minor"/>
      </rPr>
      <t xml:space="preserve">Gold </t>
    </r>
    <r>
      <rPr>
        <b/>
        <sz val="16"/>
        <rFont val="Calibri"/>
        <family val="2"/>
        <scheme val="minor"/>
      </rPr>
      <t xml:space="preserve">Plan: </t>
    </r>
    <r>
      <rPr>
        <b/>
        <i/>
        <sz val="16"/>
        <color rgb="FFC00000"/>
        <rFont val="Calibri"/>
        <family val="2"/>
        <scheme val="minor"/>
      </rPr>
      <t>Plan with HRA / Plan without HRA</t>
    </r>
  </si>
  <si>
    <t>2020 100% HRA</t>
  </si>
  <si>
    <t>2020 - no HRA</t>
  </si>
  <si>
    <t>HRA</t>
  </si>
  <si>
    <t>No HRA</t>
  </si>
  <si>
    <t>$50x52/.09 = $</t>
  </si>
  <si>
    <t>$3,000/$6,000</t>
  </si>
  <si>
    <t>Broker comp. $18 pepm</t>
  </si>
  <si>
    <t>2020 Current Plan</t>
  </si>
  <si>
    <t>Broker comp. $17.50 pepm, no change last 3 years - $18 in 2021</t>
  </si>
  <si>
    <r>
      <t>2021</t>
    </r>
    <r>
      <rPr>
        <b/>
        <sz val="18"/>
        <color rgb="FFC00000"/>
        <rFont val="Calibri"/>
        <family val="2"/>
        <scheme val="minor"/>
      </rPr>
      <t xml:space="preserve"> MVP</t>
    </r>
    <r>
      <rPr>
        <b/>
        <sz val="18"/>
        <rFont val="Calibri"/>
        <family val="2"/>
        <scheme val="minor"/>
      </rPr>
      <t xml:space="preserve"> Current </t>
    </r>
    <r>
      <rPr>
        <b/>
        <sz val="18"/>
        <color rgb="FFC00000"/>
        <rFont val="Calibri"/>
        <family val="2"/>
        <scheme val="minor"/>
      </rPr>
      <t xml:space="preserve">Gold 3 CDHP </t>
    </r>
    <r>
      <rPr>
        <b/>
        <sz val="18"/>
        <rFont val="Calibri"/>
        <family val="2"/>
        <scheme val="minor"/>
      </rPr>
      <t>Plan Renewal</t>
    </r>
  </si>
  <si>
    <r>
      <t>MVP HRA Admin. Fee:</t>
    </r>
    <r>
      <rPr>
        <b/>
        <sz val="11"/>
        <color theme="0"/>
        <rFont val="Calibri"/>
        <family val="2"/>
        <scheme val="minor"/>
      </rPr>
      <t xml:space="preserve"> $0-2020, $2.50 2021</t>
    </r>
  </si>
  <si>
    <t>Single with NO  HRA</t>
  </si>
  <si>
    <t>DID not update these 3 next pages</t>
  </si>
  <si>
    <t>Through 9-30-20, there were 25 employees on the plan</t>
  </si>
  <si>
    <t>Preventive Rx</t>
  </si>
  <si>
    <t>No Ded, 0%</t>
  </si>
  <si>
    <t>No Ded, $10/$15/5%</t>
  </si>
  <si>
    <t>Preventive care,
wellness drugs</t>
  </si>
  <si>
    <t>claims  9-30-20</t>
  </si>
  <si>
    <r>
      <t>Estimated HRA Claims</t>
    </r>
    <r>
      <rPr>
        <b/>
        <sz val="10"/>
        <color theme="0"/>
        <rFont val="Calibri"/>
        <family val="2"/>
        <scheme val="minor"/>
      </rPr>
      <t xml:space="preserve"> (trend current 7%)</t>
    </r>
  </si>
  <si>
    <t>Difference from Current Plan Premium</t>
  </si>
  <si>
    <t>Plan Coverage</t>
  </si>
  <si>
    <t>2021 Renewal Plan
No HRA</t>
  </si>
  <si>
    <t>2021 Renewal Plan
Inc. EE Deduction 5%</t>
  </si>
  <si>
    <t>Annual EE Contribution</t>
  </si>
  <si>
    <t>2021 Renewal Plan
No EE Deduction chg</t>
  </si>
  <si>
    <t xml:space="preserve"> -- </t>
  </si>
  <si>
    <t>ACA Affordability Test:</t>
  </si>
  <si>
    <t>Lowest cost self only plan</t>
  </si>
  <si>
    <t>does not exceed:</t>
  </si>
  <si>
    <t>ACA %:</t>
  </si>
  <si>
    <t>EE Cost:</t>
  </si>
  <si>
    <t>Income :</t>
  </si>
  <si>
    <t>Estimate for 2020 total using 30% last 4 months claims</t>
  </si>
  <si>
    <t>2021 Renewal, No
HRA, Inc. EE Ded</t>
  </si>
  <si>
    <t>Increase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</si>
</sst>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$&quot;#,##0_);[Red]\(&quot;$&quot;#,##0\)"/>
    <numFmt numFmtId="8" formatCode="&quot;$&quot;#,##0.00_);[Red]\(&quot;$&quot;#,##0.00\)"/>
    <numFmt numFmtId="43" formatCode="_(* #,##0.00_);_(* \(#,##0.00\);_(* &quot;-&quot;??_);_(@_)"/>
    <numFmt numFmtId="164" formatCode="&quot;$&quot;#,##0"/>
    <numFmt numFmtId="165" formatCode="_(* #,##0_);_(* \(#,##0\);_(* &quot;-&quot;??_);_(@_)"/>
    <numFmt numFmtId="166" formatCode="&quot;$&quot;#,##0.00"/>
    <numFmt numFmtId="167" formatCode="0.0%"/>
  </numFmts>
  <fonts count="6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FFFFFF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name val="Calibri"/>
      <family val="2"/>
      <scheme val="minor"/>
    </font>
    <font>
      <b/>
      <sz val="18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2"/>
      <color rgb="FFC00000"/>
      <name val="Calibri"/>
      <family val="2"/>
      <scheme val="minor"/>
    </font>
    <font>
      <b/>
      <i/>
      <sz val="12"/>
      <color rgb="FFC00000"/>
      <name val="Calibri"/>
      <family val="2"/>
      <scheme val="minor"/>
    </font>
    <font>
      <b/>
      <i/>
      <sz val="18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C00000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u/>
      <sz val="14"/>
      <color rgb="FFC00000"/>
      <name val="Calibri"/>
      <family val="2"/>
      <scheme val="minor"/>
    </font>
    <font>
      <b/>
      <sz val="16"/>
      <color rgb="FFC00000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u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u/>
      <sz val="16"/>
      <color rgb="FFC0000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b/>
      <u/>
      <sz val="14"/>
      <color theme="0"/>
      <name val="Calibri"/>
      <family val="2"/>
      <scheme val="minor"/>
    </font>
    <font>
      <b/>
      <sz val="14"/>
      <color rgb="FFFFFFFF"/>
      <name val="Calibri"/>
      <family val="2"/>
      <scheme val="minor"/>
    </font>
    <font>
      <sz val="14"/>
      <color rgb="FF000000"/>
      <name val="Calibri"/>
      <family val="2"/>
      <scheme val="minor"/>
    </font>
    <font>
      <sz val="12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i/>
      <sz val="12"/>
      <color rgb="FFFF0000"/>
      <name val="Calibri"/>
      <family val="2"/>
      <scheme val="minor"/>
    </font>
    <font>
      <i/>
      <sz val="10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b/>
      <sz val="12"/>
      <name val="Arial"/>
      <family val="2"/>
    </font>
    <font>
      <sz val="10"/>
      <color rgb="FF00B050"/>
      <name val="Arial"/>
      <family val="2"/>
    </font>
    <font>
      <sz val="12"/>
      <color rgb="FFFF0000"/>
      <name val="Arial"/>
      <family val="2"/>
    </font>
    <font>
      <sz val="12"/>
      <color rgb="FFC00000"/>
      <name val="Arial"/>
      <family val="2"/>
    </font>
    <font>
      <u/>
      <sz val="11"/>
      <color theme="1"/>
      <name val="Calibri"/>
      <family val="2"/>
      <scheme val="minor"/>
    </font>
    <font>
      <b/>
      <sz val="16"/>
      <color theme="7"/>
      <name val="Calibri"/>
      <family val="2"/>
      <scheme val="minor"/>
    </font>
    <font>
      <sz val="16"/>
      <color theme="7"/>
      <name val="Calibri"/>
      <family val="2"/>
      <scheme val="minor"/>
    </font>
    <font>
      <sz val="14"/>
      <color rgb="FFFF000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12"/>
      <color rgb="FFC00000"/>
      <name val="Calibri"/>
      <family val="2"/>
      <scheme val="minor"/>
    </font>
    <font>
      <b/>
      <i/>
      <sz val="16"/>
      <color rgb="FFC0000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u/>
      <sz val="11"/>
      <color rgb="FFC0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22"/>
      <color rgb="FFFF000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u/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u/>
      <sz val="14"/>
      <color rgb="FF0070C0"/>
      <name val="Calibri"/>
      <family val="2"/>
      <scheme val="minor"/>
    </font>
    <font>
      <b/>
      <sz val="14"/>
      <color rgb="FF0070C0"/>
      <name val="Calibri"/>
      <family val="2"/>
      <scheme val="minor"/>
    </font>
    <font>
      <b/>
      <u/>
      <sz val="16"/>
      <color rgb="FF002060"/>
      <name val="Calibri"/>
      <family val="2"/>
      <scheme val="minor"/>
    </font>
    <font>
      <b/>
      <sz val="14"/>
      <name val="Calibri"/>
      <family val="2"/>
      <scheme val="minor"/>
    </font>
    <font>
      <sz val="12"/>
      <color rgb="FF0070C0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rgb="FF293C93"/>
        <bgColor indexed="64"/>
      </patternFill>
    </fill>
    <fill>
      <patternFill patternType="solid">
        <fgColor rgb="FFF1CE5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auto="1"/>
      </left>
      <right style="medium">
        <color indexed="64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/>
      <bottom style="thick">
        <color rgb="FFC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</cellStyleXfs>
  <cellXfs count="298">
    <xf numFmtId="0" fontId="0" fillId="0" borderId="0" xfId="0"/>
    <xf numFmtId="0" fontId="3" fillId="0" borderId="0" xfId="0" applyFont="1"/>
    <xf numFmtId="0" fontId="6" fillId="0" borderId="0" xfId="0" applyFont="1" applyFill="1"/>
    <xf numFmtId="0" fontId="7" fillId="0" borderId="0" xfId="0" applyFont="1" applyFill="1"/>
    <xf numFmtId="167" fontId="0" fillId="0" borderId="0" xfId="0" applyNumberFormat="1"/>
    <xf numFmtId="0" fontId="2" fillId="3" borderId="1" xfId="0" applyFont="1" applyFill="1" applyBorder="1" applyAlignment="1">
      <alignment horizontal="center" vertical="center" wrapText="1" readingOrder="1"/>
    </xf>
    <xf numFmtId="0" fontId="9" fillId="4" borderId="0" xfId="0" applyFont="1" applyFill="1" applyAlignment="1">
      <alignment horizontal="center"/>
    </xf>
    <xf numFmtId="0" fontId="10" fillId="4" borderId="0" xfId="0" applyFont="1" applyFill="1" applyAlignment="1">
      <alignment horizontal="center"/>
    </xf>
    <xf numFmtId="0" fontId="11" fillId="0" borderId="0" xfId="0" applyFont="1" applyFill="1"/>
    <xf numFmtId="0" fontId="14" fillId="0" borderId="0" xfId="0" applyFont="1"/>
    <xf numFmtId="0" fontId="12" fillId="0" borderId="3" xfId="0" applyFont="1" applyBorder="1"/>
    <xf numFmtId="0" fontId="12" fillId="0" borderId="5" xfId="0" applyFont="1" applyBorder="1"/>
    <xf numFmtId="0" fontId="22" fillId="0" borderId="0" xfId="0" applyFont="1"/>
    <xf numFmtId="0" fontId="23" fillId="0" borderId="0" xfId="0" applyFont="1" applyFill="1" applyBorder="1" applyAlignment="1">
      <alignment horizontal="left"/>
    </xf>
    <xf numFmtId="0" fontId="24" fillId="5" borderId="0" xfId="0" applyFont="1" applyFill="1"/>
    <xf numFmtId="0" fontId="25" fillId="5" borderId="0" xfId="0" applyFont="1" applyFill="1"/>
    <xf numFmtId="6" fontId="24" fillId="5" borderId="0" xfId="0" applyNumberFormat="1" applyFont="1" applyFill="1"/>
    <xf numFmtId="6" fontId="26" fillId="5" borderId="0" xfId="0" applyNumberFormat="1" applyFont="1" applyFill="1"/>
    <xf numFmtId="0" fontId="14" fillId="0" borderId="0" xfId="0" applyFont="1" applyBorder="1"/>
    <xf numFmtId="0" fontId="12" fillId="0" borderId="6" xfId="0" applyFont="1" applyBorder="1"/>
    <xf numFmtId="0" fontId="14" fillId="0" borderId="7" xfId="0" applyFont="1" applyBorder="1"/>
    <xf numFmtId="0" fontId="14" fillId="0" borderId="4" xfId="0" applyFont="1" applyBorder="1"/>
    <xf numFmtId="0" fontId="20" fillId="0" borderId="0" xfId="0" applyFont="1" applyBorder="1"/>
    <xf numFmtId="0" fontId="17" fillId="0" borderId="7" xfId="0" applyFont="1" applyBorder="1"/>
    <xf numFmtId="0" fontId="29" fillId="4" borderId="0" xfId="0" applyFont="1" applyFill="1" applyAlignment="1">
      <alignment horizontal="center"/>
    </xf>
    <xf numFmtId="0" fontId="5" fillId="0" borderId="5" xfId="4" applyFont="1" applyFill="1" applyBorder="1" applyAlignment="1">
      <alignment horizontal="left" vertical="center" wrapText="1" readingOrder="1"/>
    </xf>
    <xf numFmtId="164" fontId="5" fillId="0" borderId="2" xfId="3" applyNumberFormat="1" applyFont="1" applyFill="1" applyBorder="1" applyAlignment="1">
      <alignment horizontal="center" vertical="center" wrapText="1" readingOrder="1"/>
    </xf>
    <xf numFmtId="165" fontId="3" fillId="0" borderId="2" xfId="3" applyNumberFormat="1" applyFont="1" applyFill="1" applyBorder="1" applyAlignment="1">
      <alignment horizontal="center" vertical="center" wrapText="1" readingOrder="1"/>
    </xf>
    <xf numFmtId="164" fontId="5" fillId="0" borderId="2" xfId="3" quotePrefix="1" applyNumberFormat="1" applyFont="1" applyFill="1" applyBorder="1" applyAlignment="1">
      <alignment horizontal="center" vertical="center" wrapText="1" readingOrder="1"/>
    </xf>
    <xf numFmtId="0" fontId="5" fillId="0" borderId="2" xfId="4" applyFont="1" applyFill="1" applyBorder="1" applyAlignment="1">
      <alignment horizontal="left" vertical="center" readingOrder="1"/>
    </xf>
    <xf numFmtId="0" fontId="5" fillId="0" borderId="5" xfId="4" applyFont="1" applyFill="1" applyBorder="1" applyAlignment="1">
      <alignment horizontal="left" vertical="center" readingOrder="1"/>
    </xf>
    <xf numFmtId="0" fontId="5" fillId="0" borderId="2" xfId="4" applyFont="1" applyFill="1" applyBorder="1" applyAlignment="1">
      <alignment horizontal="left" vertical="center" wrapText="1" readingOrder="1"/>
    </xf>
    <xf numFmtId="0" fontId="3" fillId="0" borderId="0" xfId="0" applyFont="1" applyBorder="1"/>
    <xf numFmtId="0" fontId="12" fillId="0" borderId="10" xfId="0" applyFont="1" applyBorder="1" applyAlignment="1">
      <alignment horizontal="right"/>
    </xf>
    <xf numFmtId="0" fontId="19" fillId="0" borderId="10" xfId="0" applyFont="1" applyBorder="1" applyAlignment="1">
      <alignment horizontal="right"/>
    </xf>
    <xf numFmtId="0" fontId="12" fillId="0" borderId="12" xfId="0" applyFont="1" applyBorder="1" applyAlignment="1">
      <alignment horizontal="right"/>
    </xf>
    <xf numFmtId="0" fontId="12" fillId="0" borderId="13" xfId="0" applyFont="1" applyBorder="1" applyAlignment="1">
      <alignment horizontal="right"/>
    </xf>
    <xf numFmtId="0" fontId="12" fillId="0" borderId="14" xfId="0" applyFont="1" applyBorder="1" applyAlignment="1">
      <alignment horizontal="right"/>
    </xf>
    <xf numFmtId="0" fontId="21" fillId="0" borderId="15" xfId="0" applyFont="1" applyBorder="1" applyAlignment="1">
      <alignment horizontal="right"/>
    </xf>
    <xf numFmtId="0" fontId="21" fillId="0" borderId="16" xfId="0" applyFont="1" applyBorder="1" applyAlignment="1">
      <alignment horizontal="right"/>
    </xf>
    <xf numFmtId="164" fontId="21" fillId="0" borderId="16" xfId="0" applyNumberFormat="1" applyFont="1" applyBorder="1"/>
    <xf numFmtId="9" fontId="5" fillId="0" borderId="17" xfId="1" quotePrefix="1" applyFont="1" applyFill="1" applyBorder="1" applyAlignment="1">
      <alignment horizontal="center" vertical="center" wrapText="1" readingOrder="1"/>
    </xf>
    <xf numFmtId="0" fontId="28" fillId="0" borderId="0" xfId="4" applyFont="1" applyFill="1" applyBorder="1" applyAlignment="1">
      <alignment horizontal="left" vertical="center" wrapText="1" readingOrder="1"/>
    </xf>
    <xf numFmtId="0" fontId="5" fillId="0" borderId="0" xfId="4" applyFont="1" applyFill="1" applyBorder="1" applyAlignment="1">
      <alignment horizontal="left" vertical="center" wrapText="1" readingOrder="1"/>
    </xf>
    <xf numFmtId="0" fontId="27" fillId="2" borderId="19" xfId="4" applyFont="1" applyFill="1" applyBorder="1" applyAlignment="1">
      <alignment horizontal="left" vertical="center" readingOrder="1"/>
    </xf>
    <xf numFmtId="0" fontId="4" fillId="2" borderId="20" xfId="4" applyFont="1" applyFill="1" applyBorder="1" applyAlignment="1">
      <alignment horizontal="left" vertical="center" readingOrder="1"/>
    </xf>
    <xf numFmtId="0" fontId="4" fillId="2" borderId="21" xfId="4" applyFont="1" applyFill="1" applyBorder="1" applyAlignment="1">
      <alignment horizontal="left" vertical="center" readingOrder="1"/>
    </xf>
    <xf numFmtId="0" fontId="4" fillId="2" borderId="18" xfId="4" applyFont="1" applyFill="1" applyBorder="1" applyAlignment="1">
      <alignment horizontal="center" vertical="center" readingOrder="1"/>
    </xf>
    <xf numFmtId="166" fontId="14" fillId="0" borderId="22" xfId="0" applyNumberFormat="1" applyFont="1" applyBorder="1"/>
    <xf numFmtId="166" fontId="14" fillId="0" borderId="11" xfId="0" applyNumberFormat="1" applyFont="1" applyBorder="1"/>
    <xf numFmtId="166" fontId="20" fillId="0" borderId="11" xfId="0" applyNumberFormat="1" applyFont="1" applyBorder="1"/>
    <xf numFmtId="164" fontId="21" fillId="0" borderId="23" xfId="0" applyNumberFormat="1" applyFont="1" applyBorder="1"/>
    <xf numFmtId="0" fontId="3" fillId="0" borderId="7" xfId="0" applyFont="1" applyBorder="1"/>
    <xf numFmtId="0" fontId="18" fillId="6" borderId="0" xfId="0" applyFont="1" applyFill="1" applyBorder="1" applyAlignment="1">
      <alignment vertical="center"/>
    </xf>
    <xf numFmtId="0" fontId="15" fillId="6" borderId="0" xfId="0" applyFont="1" applyFill="1" applyAlignment="1">
      <alignment vertical="center"/>
    </xf>
    <xf numFmtId="6" fontId="18" fillId="6" borderId="0" xfId="0" applyNumberFormat="1" applyFont="1" applyFill="1" applyAlignment="1">
      <alignment vertical="center"/>
    </xf>
    <xf numFmtId="0" fontId="3" fillId="0" borderId="0" xfId="0" applyFont="1" applyAlignment="1">
      <alignment vertical="center"/>
    </xf>
    <xf numFmtId="6" fontId="12" fillId="0" borderId="2" xfId="0" applyNumberFormat="1" applyFont="1" applyBorder="1"/>
    <xf numFmtId="6" fontId="19" fillId="0" borderId="2" xfId="0" applyNumberFormat="1" applyFont="1" applyBorder="1"/>
    <xf numFmtId="6" fontId="12" fillId="0" borderId="24" xfId="0" applyNumberFormat="1" applyFont="1" applyBorder="1"/>
    <xf numFmtId="6" fontId="12" fillId="0" borderId="17" xfId="0" applyNumberFormat="1" applyFont="1" applyBorder="1"/>
    <xf numFmtId="0" fontId="3" fillId="0" borderId="8" xfId="0" applyFont="1" applyBorder="1" applyAlignment="1">
      <alignment horizontal="center"/>
    </xf>
    <xf numFmtId="0" fontId="29" fillId="0" borderId="0" xfId="0" applyFont="1" applyAlignment="1">
      <alignment horizontal="right"/>
    </xf>
    <xf numFmtId="167" fontId="9" fillId="0" borderId="0" xfId="0" applyNumberFormat="1" applyFont="1" applyAlignment="1"/>
    <xf numFmtId="0" fontId="0" fillId="0" borderId="0" xfId="0" applyBorder="1"/>
    <xf numFmtId="9" fontId="5" fillId="0" borderId="2" xfId="1" quotePrefix="1" applyFont="1" applyFill="1" applyBorder="1" applyAlignment="1">
      <alignment horizontal="center" vertical="center" wrapText="1" readingOrder="1"/>
    </xf>
    <xf numFmtId="0" fontId="22" fillId="0" borderId="0" xfId="0" applyFont="1" applyAlignment="1">
      <alignment vertical="center"/>
    </xf>
    <xf numFmtId="0" fontId="30" fillId="4" borderId="0" xfId="0" applyFont="1" applyFill="1" applyAlignment="1">
      <alignment horizontal="center" vertical="center" wrapText="1"/>
    </xf>
    <xf numFmtId="0" fontId="6" fillId="0" borderId="9" xfId="3" quotePrefix="1" applyNumberFormat="1" applyFont="1" applyFill="1" applyBorder="1" applyAlignment="1">
      <alignment horizontal="center" vertical="center" wrapText="1" readingOrder="1"/>
    </xf>
    <xf numFmtId="0" fontId="6" fillId="0" borderId="2" xfId="3" quotePrefix="1" applyNumberFormat="1" applyFont="1" applyFill="1" applyBorder="1" applyAlignment="1">
      <alignment horizontal="center" vertical="center" wrapText="1" readingOrder="1"/>
    </xf>
    <xf numFmtId="165" fontId="6" fillId="0" borderId="2" xfId="3" applyNumberFormat="1" applyFont="1" applyFill="1" applyBorder="1" applyAlignment="1">
      <alignment horizontal="center" vertical="center" wrapText="1" readingOrder="1"/>
    </xf>
    <xf numFmtId="164" fontId="6" fillId="0" borderId="2" xfId="3" applyNumberFormat="1" applyFont="1" applyFill="1" applyBorder="1" applyAlignment="1">
      <alignment horizontal="center" vertical="center" wrapText="1" readingOrder="1"/>
    </xf>
    <xf numFmtId="0" fontId="31" fillId="0" borderId="2" xfId="3" quotePrefix="1" applyNumberFormat="1" applyFont="1" applyFill="1" applyBorder="1" applyAlignment="1">
      <alignment horizontal="center" vertical="center" wrapText="1" readingOrder="1"/>
    </xf>
    <xf numFmtId="0" fontId="32" fillId="0" borderId="0" xfId="0" applyFont="1" applyAlignment="1">
      <alignment horizontal="right"/>
    </xf>
    <xf numFmtId="0" fontId="33" fillId="4" borderId="0" xfId="0" applyFont="1" applyFill="1" applyAlignment="1">
      <alignment horizontal="center" vertical="center" wrapText="1"/>
    </xf>
    <xf numFmtId="166" fontId="14" fillId="0" borderId="26" xfId="0" applyNumberFormat="1" applyFont="1" applyBorder="1"/>
    <xf numFmtId="166" fontId="14" fillId="0" borderId="27" xfId="0" applyNumberFormat="1" applyFont="1" applyBorder="1"/>
    <xf numFmtId="166" fontId="20" fillId="0" borderId="27" xfId="0" applyNumberFormat="1" applyFont="1" applyBorder="1"/>
    <xf numFmtId="164" fontId="21" fillId="0" borderId="28" xfId="0" applyNumberFormat="1" applyFont="1" applyBorder="1"/>
    <xf numFmtId="0" fontId="35" fillId="0" borderId="29" xfId="0" applyFont="1" applyBorder="1"/>
    <xf numFmtId="0" fontId="0" fillId="0" borderId="29" xfId="0" applyBorder="1" applyAlignment="1">
      <alignment horizontal="center"/>
    </xf>
    <xf numFmtId="0" fontId="36" fillId="0" borderId="0" xfId="0" applyFont="1"/>
    <xf numFmtId="0" fontId="0" fillId="0" borderId="0" xfId="0" applyAlignment="1">
      <alignment horizontal="center"/>
    </xf>
    <xf numFmtId="0" fontId="37" fillId="0" borderId="0" xfId="0" applyFont="1"/>
    <xf numFmtId="0" fontId="37" fillId="0" borderId="0" xfId="0" applyFont="1" applyAlignment="1">
      <alignment horizontal="center"/>
    </xf>
    <xf numFmtId="0" fontId="37" fillId="7" borderId="0" xfId="0" applyFont="1" applyFill="1"/>
    <xf numFmtId="0" fontId="37" fillId="7" borderId="11" xfId="0" applyFont="1" applyFill="1" applyBorder="1" applyAlignment="1">
      <alignment horizontal="center"/>
    </xf>
    <xf numFmtId="0" fontId="37" fillId="7" borderId="32" xfId="0" applyFont="1" applyFill="1" applyBorder="1" applyAlignment="1">
      <alignment horizontal="center"/>
    </xf>
    <xf numFmtId="0" fontId="37" fillId="7" borderId="0" xfId="0" applyFont="1" applyFill="1" applyAlignment="1">
      <alignment horizontal="center"/>
    </xf>
    <xf numFmtId="0" fontId="37" fillId="8" borderId="0" xfId="0" applyFont="1" applyFill="1" applyAlignment="1">
      <alignment horizontal="center"/>
    </xf>
    <xf numFmtId="0" fontId="37" fillId="9" borderId="0" xfId="0" applyFont="1" applyFill="1" applyAlignment="1">
      <alignment horizontal="center"/>
    </xf>
    <xf numFmtId="0" fontId="39" fillId="7" borderId="0" xfId="0" applyFont="1" applyFill="1" applyAlignment="1">
      <alignment horizontal="left"/>
    </xf>
    <xf numFmtId="164" fontId="37" fillId="8" borderId="0" xfId="0" applyNumberFormat="1" applyFont="1" applyFill="1" applyAlignment="1">
      <alignment horizontal="center"/>
    </xf>
    <xf numFmtId="9" fontId="37" fillId="8" borderId="0" xfId="0" applyNumberFormat="1" applyFont="1" applyFill="1" applyAlignment="1">
      <alignment horizontal="center"/>
    </xf>
    <xf numFmtId="164" fontId="37" fillId="9" borderId="0" xfId="0" applyNumberFormat="1" applyFont="1" applyFill="1" applyAlignment="1">
      <alignment horizontal="center"/>
    </xf>
    <xf numFmtId="9" fontId="37" fillId="9" borderId="0" xfId="0" applyNumberFormat="1" applyFont="1" applyFill="1" applyAlignment="1">
      <alignment horizontal="center"/>
    </xf>
    <xf numFmtId="164" fontId="40" fillId="8" borderId="0" xfId="0" applyNumberFormat="1" applyFont="1" applyFill="1" applyAlignment="1">
      <alignment horizontal="center"/>
    </xf>
    <xf numFmtId="9" fontId="40" fillId="8" borderId="0" xfId="0" applyNumberFormat="1" applyFont="1" applyFill="1" applyAlignment="1">
      <alignment horizontal="center"/>
    </xf>
    <xf numFmtId="0" fontId="37" fillId="7" borderId="33" xfId="0" applyFont="1" applyFill="1" applyBorder="1" applyAlignment="1">
      <alignment horizontal="center"/>
    </xf>
    <xf numFmtId="0" fontId="37" fillId="7" borderId="34" xfId="0" applyFont="1" applyFill="1" applyBorder="1" applyAlignment="1">
      <alignment horizontal="center"/>
    </xf>
    <xf numFmtId="9" fontId="41" fillId="8" borderId="0" xfId="0" applyNumberFormat="1" applyFont="1" applyFill="1" applyAlignment="1">
      <alignment horizontal="center"/>
    </xf>
    <xf numFmtId="164" fontId="41" fillId="9" borderId="0" xfId="0" applyNumberFormat="1" applyFont="1" applyFill="1" applyAlignment="1">
      <alignment horizontal="center"/>
    </xf>
    <xf numFmtId="9" fontId="41" fillId="9" borderId="0" xfId="0" applyNumberFormat="1" applyFont="1" applyFill="1" applyAlignment="1">
      <alignment horizontal="center"/>
    </xf>
    <xf numFmtId="9" fontId="37" fillId="0" borderId="0" xfId="0" applyNumberFormat="1" applyFont="1" applyAlignment="1">
      <alignment horizontal="center"/>
    </xf>
    <xf numFmtId="0" fontId="34" fillId="0" borderId="0" xfId="0" applyFont="1"/>
    <xf numFmtId="0" fontId="0" fillId="0" borderId="0" xfId="0" applyAlignment="1">
      <alignment horizontal="right"/>
    </xf>
    <xf numFmtId="6" fontId="37" fillId="7" borderId="32" xfId="0" applyNumberFormat="1" applyFont="1" applyFill="1" applyBorder="1" applyAlignment="1">
      <alignment horizontal="center"/>
    </xf>
    <xf numFmtId="0" fontId="37" fillId="7" borderId="0" xfId="0" applyFont="1" applyFill="1" applyAlignment="1">
      <alignment wrapText="1"/>
    </xf>
    <xf numFmtId="0" fontId="38" fillId="7" borderId="30" xfId="0" applyFont="1" applyFill="1" applyBorder="1" applyAlignment="1">
      <alignment horizontal="center" wrapText="1"/>
    </xf>
    <xf numFmtId="0" fontId="38" fillId="7" borderId="31" xfId="0" applyFont="1" applyFill="1" applyBorder="1" applyAlignment="1">
      <alignment horizontal="center" wrapText="1"/>
    </xf>
    <xf numFmtId="0" fontId="38" fillId="7" borderId="0" xfId="0" applyFont="1" applyFill="1" applyAlignment="1">
      <alignment horizontal="center" wrapText="1"/>
    </xf>
    <xf numFmtId="0" fontId="38" fillId="8" borderId="0" xfId="0" applyFont="1" applyFill="1" applyAlignment="1">
      <alignment horizontal="center" wrapText="1"/>
    </xf>
    <xf numFmtId="0" fontId="38" fillId="9" borderId="0" xfId="0" applyFont="1" applyFill="1" applyAlignment="1">
      <alignment horizontal="center" wrapText="1"/>
    </xf>
    <xf numFmtId="0" fontId="37" fillId="0" borderId="0" xfId="0" applyFont="1" applyAlignment="1">
      <alignment wrapText="1"/>
    </xf>
    <xf numFmtId="0" fontId="38" fillId="10" borderId="0" xfId="0" applyFont="1" applyFill="1" applyAlignment="1">
      <alignment horizontal="center" wrapText="1"/>
    </xf>
    <xf numFmtId="0" fontId="37" fillId="10" borderId="0" xfId="0" applyFont="1" applyFill="1" applyAlignment="1">
      <alignment horizontal="center"/>
    </xf>
    <xf numFmtId="164" fontId="37" fillId="10" borderId="0" xfId="0" applyNumberFormat="1" applyFont="1" applyFill="1" applyAlignment="1">
      <alignment horizontal="center"/>
    </xf>
    <xf numFmtId="164" fontId="41" fillId="10" borderId="0" xfId="0" applyNumberFormat="1" applyFont="1" applyFill="1" applyAlignment="1">
      <alignment horizontal="center"/>
    </xf>
    <xf numFmtId="0" fontId="38" fillId="11" borderId="0" xfId="0" applyFont="1" applyFill="1" applyAlignment="1">
      <alignment horizontal="center" wrapText="1"/>
    </xf>
    <xf numFmtId="0" fontId="37" fillId="11" borderId="0" xfId="0" applyFont="1" applyFill="1" applyAlignment="1">
      <alignment horizontal="center"/>
    </xf>
    <xf numFmtId="164" fontId="37" fillId="11" borderId="0" xfId="0" applyNumberFormat="1" applyFont="1" applyFill="1" applyAlignment="1">
      <alignment horizontal="center"/>
    </xf>
    <xf numFmtId="164" fontId="41" fillId="11" borderId="0" xfId="0" applyNumberFormat="1" applyFont="1" applyFill="1" applyAlignment="1">
      <alignment horizontal="center"/>
    </xf>
    <xf numFmtId="10" fontId="37" fillId="11" borderId="0" xfId="0" applyNumberFormat="1" applyFont="1" applyFill="1" applyAlignment="1">
      <alignment horizontal="center"/>
    </xf>
    <xf numFmtId="0" fontId="37" fillId="7" borderId="0" xfId="0" applyFont="1" applyFill="1" applyAlignment="1">
      <alignment horizontal="left"/>
    </xf>
    <xf numFmtId="9" fontId="42" fillId="8" borderId="0" xfId="0" applyNumberFormat="1" applyFont="1" applyFill="1" applyAlignment="1">
      <alignment horizontal="center"/>
    </xf>
    <xf numFmtId="164" fontId="42" fillId="9" borderId="0" xfId="0" applyNumberFormat="1" applyFont="1" applyFill="1" applyAlignment="1">
      <alignment horizontal="center"/>
    </xf>
    <xf numFmtId="9" fontId="42" fillId="9" borderId="0" xfId="0" applyNumberFormat="1" applyFont="1" applyFill="1" applyAlignment="1">
      <alignment horizontal="center"/>
    </xf>
    <xf numFmtId="164" fontId="42" fillId="10" borderId="0" xfId="0" applyNumberFormat="1" applyFont="1" applyFill="1" applyAlignment="1">
      <alignment horizontal="center"/>
    </xf>
    <xf numFmtId="164" fontId="41" fillId="0" borderId="0" xfId="0" applyNumberFormat="1" applyFont="1" applyAlignment="1"/>
    <xf numFmtId="0" fontId="37" fillId="7" borderId="32" xfId="0" applyFont="1" applyFill="1" applyBorder="1" applyAlignment="1">
      <alignment horizontal="center" wrapText="1"/>
    </xf>
    <xf numFmtId="0" fontId="38" fillId="6" borderId="0" xfId="0" applyFont="1" applyFill="1" applyAlignment="1">
      <alignment horizontal="center" wrapText="1"/>
    </xf>
    <xf numFmtId="0" fontId="37" fillId="6" borderId="0" xfId="0" applyFont="1" applyFill="1" applyAlignment="1">
      <alignment horizontal="center"/>
    </xf>
    <xf numFmtId="164" fontId="37" fillId="6" borderId="0" xfId="0" applyNumberFormat="1" applyFont="1" applyFill="1" applyAlignment="1">
      <alignment horizontal="center"/>
    </xf>
    <xf numFmtId="10" fontId="37" fillId="6" borderId="0" xfId="0" applyNumberFormat="1" applyFont="1" applyFill="1" applyAlignment="1">
      <alignment horizontal="center"/>
    </xf>
    <xf numFmtId="164" fontId="41" fillId="6" borderId="0" xfId="0" applyNumberFormat="1" applyFont="1" applyFill="1" applyAlignment="1">
      <alignment horizontal="center"/>
    </xf>
    <xf numFmtId="0" fontId="23" fillId="0" borderId="0" xfId="0" applyFont="1" applyBorder="1"/>
    <xf numFmtId="0" fontId="13" fillId="0" borderId="6" xfId="0" applyFont="1" applyBorder="1" applyAlignment="1">
      <alignment vertical="center"/>
    </xf>
    <xf numFmtId="0" fontId="13" fillId="0" borderId="7" xfId="0" applyFont="1" applyBorder="1" applyAlignment="1">
      <alignment vertical="center"/>
    </xf>
    <xf numFmtId="164" fontId="13" fillId="0" borderId="17" xfId="0" applyNumberFormat="1" applyFont="1" applyBorder="1" applyAlignment="1">
      <alignment vertical="center"/>
    </xf>
    <xf numFmtId="0" fontId="14" fillId="0" borderId="0" xfId="0" applyFont="1" applyAlignment="1">
      <alignment vertical="center"/>
    </xf>
    <xf numFmtId="164" fontId="13" fillId="0" borderId="0" xfId="0" applyNumberFormat="1" applyFont="1" applyAlignment="1">
      <alignment vertical="center"/>
    </xf>
    <xf numFmtId="0" fontId="3" fillId="0" borderId="0" xfId="0" applyFont="1" applyBorder="1" applyAlignment="1"/>
    <xf numFmtId="0" fontId="46" fillId="6" borderId="0" xfId="0" applyFont="1" applyFill="1"/>
    <xf numFmtId="0" fontId="13" fillId="6" borderId="0" xfId="0" applyFont="1" applyFill="1"/>
    <xf numFmtId="6" fontId="13" fillId="6" borderId="0" xfId="0" applyNumberFormat="1" applyFont="1" applyFill="1"/>
    <xf numFmtId="0" fontId="44" fillId="0" borderId="0" xfId="0" applyFont="1" applyFill="1" applyAlignment="1">
      <alignment vertical="center"/>
    </xf>
    <xf numFmtId="0" fontId="45" fillId="0" borderId="0" xfId="0" applyFont="1" applyFill="1" applyAlignment="1">
      <alignment vertical="center"/>
    </xf>
    <xf numFmtId="6" fontId="44" fillId="0" borderId="0" xfId="0" applyNumberFormat="1" applyFont="1" applyFill="1" applyAlignment="1">
      <alignment vertical="center"/>
    </xf>
    <xf numFmtId="0" fontId="14" fillId="0" borderId="0" xfId="0" applyFont="1" applyFill="1"/>
    <xf numFmtId="10" fontId="9" fillId="6" borderId="0" xfId="0" applyNumberFormat="1" applyFont="1" applyFill="1" applyAlignment="1">
      <alignment vertical="center"/>
    </xf>
    <xf numFmtId="0" fontId="13" fillId="6" borderId="0" xfId="0" applyFont="1" applyFill="1" applyBorder="1"/>
    <xf numFmtId="0" fontId="15" fillId="6" borderId="0" xfId="0" applyFont="1" applyFill="1"/>
    <xf numFmtId="6" fontId="18" fillId="6" borderId="0" xfId="0" applyNumberFormat="1" applyFont="1" applyFill="1"/>
    <xf numFmtId="0" fontId="24" fillId="5" borderId="0" xfId="0" applyFont="1" applyFill="1" applyBorder="1"/>
    <xf numFmtId="0" fontId="47" fillId="5" borderId="0" xfId="0" applyFont="1" applyFill="1" applyBorder="1"/>
    <xf numFmtId="6" fontId="24" fillId="5" borderId="0" xfId="0" applyNumberFormat="1" applyFont="1" applyFill="1" applyBorder="1"/>
    <xf numFmtId="6" fontId="26" fillId="5" borderId="0" xfId="0" applyNumberFormat="1" applyFont="1" applyFill="1" applyBorder="1"/>
    <xf numFmtId="0" fontId="48" fillId="12" borderId="0" xfId="0" applyFont="1" applyFill="1" applyAlignment="1">
      <alignment vertical="center"/>
    </xf>
    <xf numFmtId="0" fontId="49" fillId="12" borderId="0" xfId="0" applyFont="1" applyFill="1" applyAlignment="1">
      <alignment vertical="center"/>
    </xf>
    <xf numFmtId="6" fontId="48" fillId="12" borderId="0" xfId="0" applyNumberFormat="1" applyFont="1" applyFill="1" applyAlignment="1">
      <alignment vertical="center"/>
    </xf>
    <xf numFmtId="0" fontId="18" fillId="6" borderId="0" xfId="0" applyFont="1" applyFill="1" applyBorder="1"/>
    <xf numFmtId="10" fontId="13" fillId="6" borderId="0" xfId="0" applyNumberFormat="1" applyFont="1" applyFill="1" applyAlignment="1">
      <alignment vertical="center"/>
    </xf>
    <xf numFmtId="0" fontId="13" fillId="6" borderId="0" xfId="0" applyFont="1" applyFill="1" applyBorder="1" applyAlignment="1">
      <alignment vertical="center"/>
    </xf>
    <xf numFmtId="0" fontId="46" fillId="6" borderId="0" xfId="0" applyFont="1" applyFill="1" applyAlignment="1">
      <alignment vertical="center"/>
    </xf>
    <xf numFmtId="0" fontId="21" fillId="0" borderId="0" xfId="0" applyFont="1" applyFill="1" applyBorder="1" applyAlignment="1">
      <alignment horizontal="left" vertical="center"/>
    </xf>
    <xf numFmtId="10" fontId="50" fillId="5" borderId="0" xfId="0" applyNumberFormat="1" applyFont="1" applyFill="1"/>
    <xf numFmtId="6" fontId="50" fillId="5" borderId="0" xfId="0" applyNumberFormat="1" applyFont="1" applyFill="1" applyBorder="1"/>
    <xf numFmtId="0" fontId="51" fillId="0" borderId="9" xfId="3" quotePrefix="1" applyNumberFormat="1" applyFont="1" applyFill="1" applyBorder="1" applyAlignment="1">
      <alignment horizontal="center" vertical="center" wrapText="1" readingOrder="1"/>
    </xf>
    <xf numFmtId="0" fontId="51" fillId="0" borderId="2" xfId="3" quotePrefix="1" applyNumberFormat="1" applyFont="1" applyFill="1" applyBorder="1" applyAlignment="1">
      <alignment horizontal="center" vertical="center" wrapText="1" readingOrder="1"/>
    </xf>
    <xf numFmtId="165" fontId="51" fillId="0" borderId="2" xfId="3" applyNumberFormat="1" applyFont="1" applyFill="1" applyBorder="1" applyAlignment="1">
      <alignment horizontal="center" vertical="center" wrapText="1" readingOrder="1"/>
    </xf>
    <xf numFmtId="164" fontId="51" fillId="0" borderId="2" xfId="3" applyNumberFormat="1" applyFont="1" applyFill="1" applyBorder="1" applyAlignment="1">
      <alignment horizontal="center" vertical="center" wrapText="1" readingOrder="1"/>
    </xf>
    <xf numFmtId="9" fontId="51" fillId="0" borderId="2" xfId="1" quotePrefix="1" applyFont="1" applyFill="1" applyBorder="1" applyAlignment="1">
      <alignment horizontal="center" vertical="center" wrapText="1" readingOrder="1"/>
    </xf>
    <xf numFmtId="9" fontId="51" fillId="0" borderId="17" xfId="1" quotePrefix="1" applyFont="1" applyFill="1" applyBorder="1" applyAlignment="1">
      <alignment horizontal="center" vertical="center" wrapText="1" readingOrder="1"/>
    </xf>
    <xf numFmtId="164" fontId="42" fillId="0" borderId="0" xfId="0" applyNumberFormat="1" applyFont="1" applyAlignment="1"/>
    <xf numFmtId="0" fontId="29" fillId="0" borderId="0" xfId="0" applyFont="1" applyAlignment="1">
      <alignment horizontal="center"/>
    </xf>
    <xf numFmtId="0" fontId="48" fillId="0" borderId="0" xfId="0" applyFont="1" applyFill="1"/>
    <xf numFmtId="6" fontId="12" fillId="13" borderId="24" xfId="0" applyNumberFormat="1" applyFont="1" applyFill="1" applyBorder="1"/>
    <xf numFmtId="6" fontId="12" fillId="13" borderId="2" xfId="0" applyNumberFormat="1" applyFont="1" applyFill="1" applyBorder="1"/>
    <xf numFmtId="6" fontId="12" fillId="13" borderId="17" xfId="0" applyNumberFormat="1" applyFont="1" applyFill="1" applyBorder="1"/>
    <xf numFmtId="6" fontId="12" fillId="14" borderId="24" xfId="0" applyNumberFormat="1" applyFont="1" applyFill="1" applyBorder="1"/>
    <xf numFmtId="6" fontId="12" fillId="14" borderId="2" xfId="0" applyNumberFormat="1" applyFont="1" applyFill="1" applyBorder="1"/>
    <xf numFmtId="6" fontId="12" fillId="14" borderId="17" xfId="0" applyNumberFormat="1" applyFont="1" applyFill="1" applyBorder="1"/>
    <xf numFmtId="0" fontId="29" fillId="0" borderId="0" xfId="0" applyFont="1" applyBorder="1" applyAlignment="1">
      <alignment horizontal="center"/>
    </xf>
    <xf numFmtId="6" fontId="50" fillId="5" borderId="0" xfId="0" applyNumberFormat="1" applyFont="1" applyFill="1" applyBorder="1" applyAlignment="1">
      <alignment horizontal="center"/>
    </xf>
    <xf numFmtId="6" fontId="24" fillId="5" borderId="0" xfId="0" applyNumberFormat="1" applyFont="1" applyFill="1" applyAlignment="1">
      <alignment horizontal="center"/>
    </xf>
    <xf numFmtId="10" fontId="50" fillId="5" borderId="0" xfId="0" applyNumberFormat="1" applyFont="1" applyFill="1" applyAlignment="1">
      <alignment horizontal="center"/>
    </xf>
    <xf numFmtId="0" fontId="53" fillId="0" borderId="0" xfId="0" applyFont="1" applyAlignment="1">
      <alignment horizontal="right"/>
    </xf>
    <xf numFmtId="0" fontId="30" fillId="0" borderId="0" xfId="0" applyFont="1" applyAlignment="1">
      <alignment horizontal="center" wrapText="1"/>
    </xf>
    <xf numFmtId="6" fontId="30" fillId="0" borderId="24" xfId="0" applyNumberFormat="1" applyFont="1" applyBorder="1" applyAlignment="1">
      <alignment horizontal="center"/>
    </xf>
    <xf numFmtId="6" fontId="30" fillId="0" borderId="2" xfId="0" applyNumberFormat="1" applyFont="1" applyBorder="1" applyAlignment="1">
      <alignment horizontal="center"/>
    </xf>
    <xf numFmtId="0" fontId="22" fillId="0" borderId="17" xfId="0" applyFont="1" applyBorder="1" applyAlignment="1">
      <alignment vertical="center"/>
    </xf>
    <xf numFmtId="0" fontId="3" fillId="0" borderId="0" xfId="0" applyFont="1" applyFill="1" applyBorder="1"/>
    <xf numFmtId="6" fontId="12" fillId="0" borderId="5" xfId="0" applyNumberFormat="1" applyFont="1" applyBorder="1"/>
    <xf numFmtId="6" fontId="12" fillId="0" borderId="8" xfId="0" applyNumberFormat="1" applyFont="1" applyFill="1" applyBorder="1"/>
    <xf numFmtId="0" fontId="3" fillId="0" borderId="24" xfId="0" applyFont="1" applyBorder="1"/>
    <xf numFmtId="0" fontId="3" fillId="0" borderId="17" xfId="0" applyFont="1" applyBorder="1"/>
    <xf numFmtId="0" fontId="3" fillId="0" borderId="2" xfId="0" applyFont="1" applyBorder="1"/>
    <xf numFmtId="6" fontId="12" fillId="0" borderId="0" xfId="0" applyNumberFormat="1" applyFont="1" applyFill="1" applyBorder="1"/>
    <xf numFmtId="10" fontId="55" fillId="6" borderId="0" xfId="0" applyNumberFormat="1" applyFont="1" applyFill="1" applyAlignment="1">
      <alignment vertical="center"/>
    </xf>
    <xf numFmtId="0" fontId="4" fillId="2" borderId="8" xfId="4" applyFont="1" applyFill="1" applyBorder="1" applyAlignment="1">
      <alignment horizontal="left" vertical="center" readingOrder="1"/>
    </xf>
    <xf numFmtId="0" fontId="12" fillId="0" borderId="22" xfId="0" applyFont="1" applyBorder="1" applyAlignment="1">
      <alignment horizontal="right"/>
    </xf>
    <xf numFmtId="0" fontId="12" fillId="0" borderId="11" xfId="0" applyFont="1" applyBorder="1" applyAlignment="1">
      <alignment horizontal="right"/>
    </xf>
    <xf numFmtId="0" fontId="19" fillId="0" borderId="11" xfId="0" applyFont="1" applyBorder="1" applyAlignment="1">
      <alignment horizontal="right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right" wrapText="1"/>
    </xf>
    <xf numFmtId="0" fontId="57" fillId="0" borderId="0" xfId="0" applyFont="1"/>
    <xf numFmtId="0" fontId="29" fillId="0" borderId="9" xfId="3" quotePrefix="1" applyNumberFormat="1" applyFont="1" applyFill="1" applyBorder="1" applyAlignment="1">
      <alignment horizontal="center" vertical="center" wrapText="1" readingOrder="1"/>
    </xf>
    <xf numFmtId="164" fontId="29" fillId="0" borderId="2" xfId="3" applyNumberFormat="1" applyFont="1" applyFill="1" applyBorder="1" applyAlignment="1">
      <alignment horizontal="center" vertical="center" wrapText="1" readingOrder="1"/>
    </xf>
    <xf numFmtId="0" fontId="0" fillId="15" borderId="0" xfId="0" applyFill="1" applyAlignment="1">
      <alignment horizontal="center"/>
    </xf>
    <xf numFmtId="0" fontId="43" fillId="15" borderId="0" xfId="0" applyFont="1" applyFill="1" applyAlignment="1">
      <alignment horizontal="center"/>
    </xf>
    <xf numFmtId="9" fontId="29" fillId="0" borderId="2" xfId="1" quotePrefix="1" applyFont="1" applyFill="1" applyBorder="1" applyAlignment="1">
      <alignment horizontal="center" vertical="center" wrapText="1" readingOrder="1"/>
    </xf>
    <xf numFmtId="0" fontId="24" fillId="2" borderId="0" xfId="0" applyFont="1" applyFill="1" applyBorder="1"/>
    <xf numFmtId="0" fontId="58" fillId="2" borderId="0" xfId="0" applyFont="1" applyFill="1" applyAlignment="1">
      <alignment wrapText="1"/>
    </xf>
    <xf numFmtId="6" fontId="24" fillId="2" borderId="0" xfId="0" applyNumberFormat="1" applyFont="1" applyFill="1" applyBorder="1"/>
    <xf numFmtId="6" fontId="24" fillId="2" borderId="0" xfId="0" applyNumberFormat="1" applyFont="1" applyFill="1"/>
    <xf numFmtId="164" fontId="60" fillId="2" borderId="0" xfId="0" applyNumberFormat="1" applyFont="1" applyFill="1" applyAlignment="1">
      <alignment horizontal="center" vertical="top" wrapText="1"/>
    </xf>
    <xf numFmtId="6" fontId="26" fillId="2" borderId="0" xfId="0" applyNumberFormat="1" applyFont="1" applyFill="1" applyBorder="1"/>
    <xf numFmtId="6" fontId="26" fillId="2" borderId="0" xfId="0" applyNumberFormat="1" applyFont="1" applyFill="1"/>
    <xf numFmtId="0" fontId="24" fillId="2" borderId="0" xfId="0" applyFont="1" applyFill="1"/>
    <xf numFmtId="164" fontId="59" fillId="2" borderId="0" xfId="0" applyNumberFormat="1" applyFont="1" applyFill="1" applyAlignment="1">
      <alignment horizontal="center"/>
    </xf>
    <xf numFmtId="0" fontId="14" fillId="2" borderId="0" xfId="0" applyFont="1" applyFill="1"/>
    <xf numFmtId="0" fontId="25" fillId="2" borderId="0" xfId="0" applyFont="1" applyFill="1"/>
    <xf numFmtId="6" fontId="18" fillId="12" borderId="0" xfId="0" applyNumberFormat="1" applyFont="1" applyFill="1" applyAlignment="1">
      <alignment vertical="center"/>
    </xf>
    <xf numFmtId="0" fontId="62" fillId="0" borderId="7" xfId="0" applyFont="1" applyBorder="1"/>
    <xf numFmtId="164" fontId="63" fillId="0" borderId="17" xfId="0" applyNumberFormat="1" applyFont="1" applyBorder="1" applyAlignment="1">
      <alignment vertical="center"/>
    </xf>
    <xf numFmtId="0" fontId="18" fillId="6" borderId="0" xfId="0" applyFont="1" applyFill="1"/>
    <xf numFmtId="0" fontId="63" fillId="0" borderId="6" xfId="0" applyFont="1" applyBorder="1" applyAlignment="1">
      <alignment vertical="center"/>
    </xf>
    <xf numFmtId="0" fontId="63" fillId="0" borderId="7" xfId="0" applyFont="1" applyBorder="1" applyAlignment="1">
      <alignment vertical="center"/>
    </xf>
    <xf numFmtId="0" fontId="64" fillId="0" borderId="0" xfId="0" applyFont="1" applyFill="1" applyBorder="1" applyAlignment="1">
      <alignment horizontal="left"/>
    </xf>
    <xf numFmtId="0" fontId="56" fillId="16" borderId="5" xfId="0" applyFont="1" applyFill="1" applyBorder="1"/>
    <xf numFmtId="0" fontId="20" fillId="16" borderId="0" xfId="0" applyFont="1" applyFill="1" applyBorder="1"/>
    <xf numFmtId="6" fontId="19" fillId="16" borderId="2" xfId="0" applyNumberFormat="1" applyFont="1" applyFill="1" applyBorder="1"/>
    <xf numFmtId="9" fontId="5" fillId="0" borderId="0" xfId="1" quotePrefix="1" applyFont="1" applyFill="1" applyBorder="1" applyAlignment="1">
      <alignment horizontal="center" vertical="center" wrapText="1" readingOrder="1"/>
    </xf>
    <xf numFmtId="0" fontId="13" fillId="0" borderId="0" xfId="0" applyFont="1" applyFill="1" applyBorder="1" applyAlignment="1">
      <alignment vertical="center"/>
    </xf>
    <xf numFmtId="0" fontId="46" fillId="0" borderId="0" xfId="0" applyFont="1" applyFill="1" applyAlignment="1">
      <alignment vertical="center"/>
    </xf>
    <xf numFmtId="10" fontId="13" fillId="0" borderId="0" xfId="0" applyNumberFormat="1" applyFont="1" applyFill="1" applyAlignment="1">
      <alignment vertical="center"/>
    </xf>
    <xf numFmtId="6" fontId="65" fillId="0" borderId="2" xfId="0" applyNumberFormat="1" applyFont="1" applyBorder="1"/>
    <xf numFmtId="0" fontId="13" fillId="12" borderId="0" xfId="0" applyFont="1" applyFill="1" applyAlignment="1">
      <alignment vertical="center"/>
    </xf>
    <xf numFmtId="0" fontId="66" fillId="0" borderId="0" xfId="0" applyFont="1"/>
    <xf numFmtId="0" fontId="66" fillId="0" borderId="7" xfId="0" applyFont="1" applyBorder="1"/>
    <xf numFmtId="0" fontId="3" fillId="0" borderId="35" xfId="0" applyFont="1" applyBorder="1"/>
    <xf numFmtId="0" fontId="56" fillId="16" borderId="6" xfId="0" applyFont="1" applyFill="1" applyBorder="1"/>
    <xf numFmtId="0" fontId="3" fillId="0" borderId="17" xfId="0" applyFont="1" applyBorder="1" applyAlignment="1">
      <alignment horizontal="right"/>
    </xf>
    <xf numFmtId="6" fontId="24" fillId="0" borderId="0" xfId="0" applyNumberFormat="1" applyFont="1" applyFill="1"/>
    <xf numFmtId="6" fontId="26" fillId="0" borderId="0" xfId="0" applyNumberFormat="1" applyFont="1" applyFill="1"/>
    <xf numFmtId="6" fontId="18" fillId="0" borderId="0" xfId="0" applyNumberFormat="1" applyFont="1" applyFill="1" applyAlignment="1">
      <alignment vertical="center"/>
    </xf>
    <xf numFmtId="6" fontId="30" fillId="0" borderId="17" xfId="0" applyNumberFormat="1" applyFont="1" applyBorder="1" applyAlignment="1">
      <alignment horizontal="center"/>
    </xf>
    <xf numFmtId="164" fontId="63" fillId="10" borderId="17" xfId="0" applyNumberFormat="1" applyFont="1" applyFill="1" applyBorder="1" applyAlignment="1">
      <alignment vertical="center"/>
    </xf>
    <xf numFmtId="6" fontId="12" fillId="0" borderId="24" xfId="0" applyNumberFormat="1" applyFont="1" applyFill="1" applyBorder="1"/>
    <xf numFmtId="6" fontId="12" fillId="0" borderId="2" xfId="0" applyNumberFormat="1" applyFont="1" applyFill="1" applyBorder="1"/>
    <xf numFmtId="6" fontId="19" fillId="0" borderId="2" xfId="0" applyNumberFormat="1" applyFont="1" applyFill="1" applyBorder="1"/>
    <xf numFmtId="164" fontId="63" fillId="0" borderId="17" xfId="0" applyNumberFormat="1" applyFont="1" applyFill="1" applyBorder="1" applyAlignment="1">
      <alignment vertical="center"/>
    </xf>
    <xf numFmtId="0" fontId="3" fillId="0" borderId="0" xfId="0" applyFont="1" applyFill="1"/>
    <xf numFmtId="0" fontId="3" fillId="0" borderId="7" xfId="0" applyFont="1" applyFill="1" applyBorder="1"/>
    <xf numFmtId="6" fontId="12" fillId="0" borderId="17" xfId="0" applyNumberFormat="1" applyFont="1" applyFill="1" applyBorder="1"/>
    <xf numFmtId="166" fontId="63" fillId="10" borderId="24" xfId="0" applyNumberFormat="1" applyFont="1" applyFill="1" applyBorder="1"/>
    <xf numFmtId="166" fontId="63" fillId="10" borderId="2" xfId="0" applyNumberFormat="1" applyFont="1" applyFill="1" applyBorder="1"/>
    <xf numFmtId="166" fontId="62" fillId="10" borderId="2" xfId="0" applyNumberFormat="1" applyFont="1" applyFill="1" applyBorder="1"/>
    <xf numFmtId="6" fontId="63" fillId="10" borderId="24" xfId="0" applyNumberFormat="1" applyFont="1" applyFill="1" applyBorder="1"/>
    <xf numFmtId="6" fontId="63" fillId="10" borderId="2" xfId="0" applyNumberFormat="1" applyFont="1" applyFill="1" applyBorder="1"/>
    <xf numFmtId="6" fontId="63" fillId="10" borderId="17" xfId="0" applyNumberFormat="1" applyFont="1" applyFill="1" applyBorder="1"/>
    <xf numFmtId="8" fontId="63" fillId="10" borderId="24" xfId="0" applyNumberFormat="1" applyFont="1" applyFill="1" applyBorder="1"/>
    <xf numFmtId="8" fontId="63" fillId="10" borderId="2" xfId="0" applyNumberFormat="1" applyFont="1" applyFill="1" applyBorder="1"/>
    <xf numFmtId="8" fontId="62" fillId="10" borderId="2" xfId="0" applyNumberFormat="1" applyFont="1" applyFill="1" applyBorder="1"/>
    <xf numFmtId="0" fontId="3" fillId="10" borderId="17" xfId="0" applyFont="1" applyFill="1" applyBorder="1" applyAlignment="1">
      <alignment horizontal="right"/>
    </xf>
    <xf numFmtId="0" fontId="0" fillId="0" borderId="0" xfId="0" applyFont="1"/>
    <xf numFmtId="0" fontId="0" fillId="0" borderId="11" xfId="0" applyFont="1" applyBorder="1"/>
    <xf numFmtId="0" fontId="3" fillId="0" borderId="32" xfId="0" applyFont="1" applyBorder="1"/>
    <xf numFmtId="0" fontId="0" fillId="0" borderId="11" xfId="0" applyFont="1" applyBorder="1" applyAlignment="1">
      <alignment horizontal="right"/>
    </xf>
    <xf numFmtId="0" fontId="34" fillId="10" borderId="0" xfId="0" applyFont="1" applyFill="1" applyBorder="1"/>
    <xf numFmtId="0" fontId="34" fillId="10" borderId="32" xfId="0" applyFont="1" applyFill="1" applyBorder="1"/>
    <xf numFmtId="0" fontId="34" fillId="0" borderId="11" xfId="0" applyFont="1" applyBorder="1" applyAlignment="1">
      <alignment horizontal="right"/>
    </xf>
    <xf numFmtId="10" fontId="0" fillId="0" borderId="0" xfId="0" applyNumberFormat="1" applyFont="1" applyBorder="1"/>
    <xf numFmtId="10" fontId="0" fillId="0" borderId="32" xfId="0" applyNumberFormat="1" applyFont="1" applyBorder="1"/>
    <xf numFmtId="164" fontId="43" fillId="0" borderId="0" xfId="0" applyNumberFormat="1" applyFont="1" applyBorder="1"/>
    <xf numFmtId="164" fontId="43" fillId="0" borderId="32" xfId="0" applyNumberFormat="1" applyFont="1" applyBorder="1"/>
    <xf numFmtId="0" fontId="34" fillId="0" borderId="33" xfId="0" applyFont="1" applyBorder="1" applyAlignment="1">
      <alignment horizontal="right"/>
    </xf>
    <xf numFmtId="164" fontId="34" fillId="0" borderId="37" xfId="0" applyNumberFormat="1" applyFont="1" applyBorder="1"/>
    <xf numFmtId="164" fontId="34" fillId="0" borderId="34" xfId="0" applyNumberFormat="1" applyFont="1" applyBorder="1"/>
    <xf numFmtId="0" fontId="6" fillId="0" borderId="17" xfId="3" quotePrefix="1" applyNumberFormat="1" applyFont="1" applyFill="1" applyBorder="1" applyAlignment="1">
      <alignment horizontal="center" vertical="center" wrapText="1" readingOrder="1"/>
    </xf>
    <xf numFmtId="0" fontId="29" fillId="0" borderId="17" xfId="3" quotePrefix="1" applyNumberFormat="1" applyFont="1" applyFill="1" applyBorder="1" applyAlignment="1">
      <alignment horizontal="center" vertical="center" wrapText="1" readingOrder="1"/>
    </xf>
    <xf numFmtId="0" fontId="3" fillId="0" borderId="1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18" fillId="0" borderId="25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center" wrapText="1"/>
    </xf>
    <xf numFmtId="0" fontId="10" fillId="4" borderId="7" xfId="0" applyFont="1" applyFill="1" applyBorder="1" applyAlignment="1">
      <alignment horizontal="center" wrapText="1"/>
    </xf>
    <xf numFmtId="0" fontId="28" fillId="0" borderId="7" xfId="4" applyFont="1" applyFill="1" applyBorder="1" applyAlignment="1">
      <alignment horizontal="left" vertical="center" wrapText="1" readingOrder="1"/>
    </xf>
    <xf numFmtId="0" fontId="28" fillId="0" borderId="35" xfId="4" applyFont="1" applyFill="1" applyBorder="1" applyAlignment="1">
      <alignment horizontal="left" vertical="center" wrapText="1" readingOrder="1"/>
    </xf>
    <xf numFmtId="0" fontId="0" fillId="0" borderId="0" xfId="0" applyAlignment="1">
      <alignment horizontal="center"/>
    </xf>
    <xf numFmtId="0" fontId="21" fillId="0" borderId="25" xfId="0" applyFont="1" applyFill="1" applyBorder="1" applyAlignment="1">
      <alignment horizontal="left" vertical="center"/>
    </xf>
    <xf numFmtId="0" fontId="29" fillId="0" borderId="4" xfId="0" applyFont="1" applyBorder="1" applyAlignment="1">
      <alignment horizontal="center"/>
    </xf>
    <xf numFmtId="0" fontId="29" fillId="0" borderId="0" xfId="0" applyFont="1" applyAlignment="1">
      <alignment horizontal="center"/>
    </xf>
    <xf numFmtId="0" fontId="29" fillId="0" borderId="0" xfId="0" applyFont="1" applyBorder="1" applyAlignment="1">
      <alignment horizontal="center"/>
    </xf>
    <xf numFmtId="0" fontId="54" fillId="0" borderId="0" xfId="0" applyFont="1" applyBorder="1" applyAlignment="1">
      <alignment horizontal="center" wrapText="1"/>
    </xf>
  </cellXfs>
  <cellStyles count="5">
    <cellStyle name="Comma 7 3" xfId="3" xr:uid="{00000000-0005-0000-0000-000000000000}"/>
    <cellStyle name="Normal" xfId="0" builtinId="0"/>
    <cellStyle name="Normal 7 2 2" xfId="4" xr:uid="{00000000-0005-0000-0000-000002000000}"/>
    <cellStyle name="Normal 7 3" xfId="2" xr:uid="{00000000-0005-0000-0000-000003000000}"/>
    <cellStyle name="Percent" xfId="1" builtinId="5"/>
  </cellStyles>
  <dxfs count="0"/>
  <tableStyles count="0" defaultTableStyle="TableStyleMedium2" defaultPivotStyle="PivotStyleLight16"/>
  <colors>
    <mruColors>
      <color rgb="FF293C9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M69"/>
  <sheetViews>
    <sheetView showGridLines="0" tabSelected="1" topLeftCell="A42" zoomScale="80" zoomScaleNormal="80" workbookViewId="0">
      <selection activeCell="N66" sqref="N66"/>
    </sheetView>
  </sheetViews>
  <sheetFormatPr defaultColWidth="9.109375" defaultRowHeight="15.6" x14ac:dyDescent="0.3"/>
  <cols>
    <col min="1" max="1" width="4.5546875" style="1" customWidth="1"/>
    <col min="2" max="2" width="30.109375" style="1" customWidth="1"/>
    <col min="3" max="3" width="13.77734375" style="1" customWidth="1"/>
    <col min="4" max="4" width="20.77734375" style="1" customWidth="1"/>
    <col min="5" max="5" width="20.5546875" style="1" customWidth="1"/>
    <col min="6" max="6" width="21" style="1" customWidth="1"/>
    <col min="7" max="8" width="20.77734375" style="1" customWidth="1"/>
    <col min="9" max="258" width="9.109375" style="1"/>
    <col min="259" max="259" width="40.5546875" style="1" customWidth="1"/>
    <col min="260" max="260" width="6.109375" style="1" customWidth="1"/>
    <col min="261" max="262" width="24.6640625" style="1" customWidth="1"/>
    <col min="263" max="263" width="27.6640625" style="1" customWidth="1"/>
    <col min="264" max="514" width="9.109375" style="1"/>
    <col min="515" max="515" width="40.5546875" style="1" customWidth="1"/>
    <col min="516" max="516" width="6.109375" style="1" customWidth="1"/>
    <col min="517" max="518" width="24.6640625" style="1" customWidth="1"/>
    <col min="519" max="519" width="27.6640625" style="1" customWidth="1"/>
    <col min="520" max="770" width="9.109375" style="1"/>
    <col min="771" max="771" width="40.5546875" style="1" customWidth="1"/>
    <col min="772" max="772" width="6.109375" style="1" customWidth="1"/>
    <col min="773" max="774" width="24.6640625" style="1" customWidth="1"/>
    <col min="775" max="775" width="27.6640625" style="1" customWidth="1"/>
    <col min="776" max="1026" width="9.109375" style="1"/>
    <col min="1027" max="1027" width="40.5546875" style="1" customWidth="1"/>
    <col min="1028" max="1028" width="6.109375" style="1" customWidth="1"/>
    <col min="1029" max="1030" width="24.6640625" style="1" customWidth="1"/>
    <col min="1031" max="1031" width="27.6640625" style="1" customWidth="1"/>
    <col min="1032" max="1282" width="9.109375" style="1"/>
    <col min="1283" max="1283" width="40.5546875" style="1" customWidth="1"/>
    <col min="1284" max="1284" width="6.109375" style="1" customWidth="1"/>
    <col min="1285" max="1286" width="24.6640625" style="1" customWidth="1"/>
    <col min="1287" max="1287" width="27.6640625" style="1" customWidth="1"/>
    <col min="1288" max="1538" width="9.109375" style="1"/>
    <col min="1539" max="1539" width="40.5546875" style="1" customWidth="1"/>
    <col min="1540" max="1540" width="6.109375" style="1" customWidth="1"/>
    <col min="1541" max="1542" width="24.6640625" style="1" customWidth="1"/>
    <col min="1543" max="1543" width="27.6640625" style="1" customWidth="1"/>
    <col min="1544" max="1794" width="9.109375" style="1"/>
    <col min="1795" max="1795" width="40.5546875" style="1" customWidth="1"/>
    <col min="1796" max="1796" width="6.109375" style="1" customWidth="1"/>
    <col min="1797" max="1798" width="24.6640625" style="1" customWidth="1"/>
    <col min="1799" max="1799" width="27.6640625" style="1" customWidth="1"/>
    <col min="1800" max="2050" width="9.109375" style="1"/>
    <col min="2051" max="2051" width="40.5546875" style="1" customWidth="1"/>
    <col min="2052" max="2052" width="6.109375" style="1" customWidth="1"/>
    <col min="2053" max="2054" width="24.6640625" style="1" customWidth="1"/>
    <col min="2055" max="2055" width="27.6640625" style="1" customWidth="1"/>
    <col min="2056" max="2306" width="9.109375" style="1"/>
    <col min="2307" max="2307" width="40.5546875" style="1" customWidth="1"/>
    <col min="2308" max="2308" width="6.109375" style="1" customWidth="1"/>
    <col min="2309" max="2310" width="24.6640625" style="1" customWidth="1"/>
    <col min="2311" max="2311" width="27.6640625" style="1" customWidth="1"/>
    <col min="2312" max="2562" width="9.109375" style="1"/>
    <col min="2563" max="2563" width="40.5546875" style="1" customWidth="1"/>
    <col min="2564" max="2564" width="6.109375" style="1" customWidth="1"/>
    <col min="2565" max="2566" width="24.6640625" style="1" customWidth="1"/>
    <col min="2567" max="2567" width="27.6640625" style="1" customWidth="1"/>
    <col min="2568" max="2818" width="9.109375" style="1"/>
    <col min="2819" max="2819" width="40.5546875" style="1" customWidth="1"/>
    <col min="2820" max="2820" width="6.109375" style="1" customWidth="1"/>
    <col min="2821" max="2822" width="24.6640625" style="1" customWidth="1"/>
    <col min="2823" max="2823" width="27.6640625" style="1" customWidth="1"/>
    <col min="2824" max="3074" width="9.109375" style="1"/>
    <col min="3075" max="3075" width="40.5546875" style="1" customWidth="1"/>
    <col min="3076" max="3076" width="6.109375" style="1" customWidth="1"/>
    <col min="3077" max="3078" width="24.6640625" style="1" customWidth="1"/>
    <col min="3079" max="3079" width="27.6640625" style="1" customWidth="1"/>
    <col min="3080" max="3330" width="9.109375" style="1"/>
    <col min="3331" max="3331" width="40.5546875" style="1" customWidth="1"/>
    <col min="3332" max="3332" width="6.109375" style="1" customWidth="1"/>
    <col min="3333" max="3334" width="24.6640625" style="1" customWidth="1"/>
    <col min="3335" max="3335" width="27.6640625" style="1" customWidth="1"/>
    <col min="3336" max="3586" width="9.109375" style="1"/>
    <col min="3587" max="3587" width="40.5546875" style="1" customWidth="1"/>
    <col min="3588" max="3588" width="6.109375" style="1" customWidth="1"/>
    <col min="3589" max="3590" width="24.6640625" style="1" customWidth="1"/>
    <col min="3591" max="3591" width="27.6640625" style="1" customWidth="1"/>
    <col min="3592" max="3842" width="9.109375" style="1"/>
    <col min="3843" max="3843" width="40.5546875" style="1" customWidth="1"/>
    <col min="3844" max="3844" width="6.109375" style="1" customWidth="1"/>
    <col min="3845" max="3846" width="24.6640625" style="1" customWidth="1"/>
    <col min="3847" max="3847" width="27.6640625" style="1" customWidth="1"/>
    <col min="3848" max="4098" width="9.109375" style="1"/>
    <col min="4099" max="4099" width="40.5546875" style="1" customWidth="1"/>
    <col min="4100" max="4100" width="6.109375" style="1" customWidth="1"/>
    <col min="4101" max="4102" width="24.6640625" style="1" customWidth="1"/>
    <col min="4103" max="4103" width="27.6640625" style="1" customWidth="1"/>
    <col min="4104" max="4354" width="9.109375" style="1"/>
    <col min="4355" max="4355" width="40.5546875" style="1" customWidth="1"/>
    <col min="4356" max="4356" width="6.109375" style="1" customWidth="1"/>
    <col min="4357" max="4358" width="24.6640625" style="1" customWidth="1"/>
    <col min="4359" max="4359" width="27.6640625" style="1" customWidth="1"/>
    <col min="4360" max="4610" width="9.109375" style="1"/>
    <col min="4611" max="4611" width="40.5546875" style="1" customWidth="1"/>
    <col min="4612" max="4612" width="6.109375" style="1" customWidth="1"/>
    <col min="4613" max="4614" width="24.6640625" style="1" customWidth="1"/>
    <col min="4615" max="4615" width="27.6640625" style="1" customWidth="1"/>
    <col min="4616" max="4866" width="9.109375" style="1"/>
    <col min="4867" max="4867" width="40.5546875" style="1" customWidth="1"/>
    <col min="4868" max="4868" width="6.109375" style="1" customWidth="1"/>
    <col min="4869" max="4870" width="24.6640625" style="1" customWidth="1"/>
    <col min="4871" max="4871" width="27.6640625" style="1" customWidth="1"/>
    <col min="4872" max="5122" width="9.109375" style="1"/>
    <col min="5123" max="5123" width="40.5546875" style="1" customWidth="1"/>
    <col min="5124" max="5124" width="6.109375" style="1" customWidth="1"/>
    <col min="5125" max="5126" width="24.6640625" style="1" customWidth="1"/>
    <col min="5127" max="5127" width="27.6640625" style="1" customWidth="1"/>
    <col min="5128" max="5378" width="9.109375" style="1"/>
    <col min="5379" max="5379" width="40.5546875" style="1" customWidth="1"/>
    <col min="5380" max="5380" width="6.109375" style="1" customWidth="1"/>
    <col min="5381" max="5382" width="24.6640625" style="1" customWidth="1"/>
    <col min="5383" max="5383" width="27.6640625" style="1" customWidth="1"/>
    <col min="5384" max="5634" width="9.109375" style="1"/>
    <col min="5635" max="5635" width="40.5546875" style="1" customWidth="1"/>
    <col min="5636" max="5636" width="6.109375" style="1" customWidth="1"/>
    <col min="5637" max="5638" width="24.6640625" style="1" customWidth="1"/>
    <col min="5639" max="5639" width="27.6640625" style="1" customWidth="1"/>
    <col min="5640" max="5890" width="9.109375" style="1"/>
    <col min="5891" max="5891" width="40.5546875" style="1" customWidth="1"/>
    <col min="5892" max="5892" width="6.109375" style="1" customWidth="1"/>
    <col min="5893" max="5894" width="24.6640625" style="1" customWidth="1"/>
    <col min="5895" max="5895" width="27.6640625" style="1" customWidth="1"/>
    <col min="5896" max="6146" width="9.109375" style="1"/>
    <col min="6147" max="6147" width="40.5546875" style="1" customWidth="1"/>
    <col min="6148" max="6148" width="6.109375" style="1" customWidth="1"/>
    <col min="6149" max="6150" width="24.6640625" style="1" customWidth="1"/>
    <col min="6151" max="6151" width="27.6640625" style="1" customWidth="1"/>
    <col min="6152" max="6402" width="9.109375" style="1"/>
    <col min="6403" max="6403" width="40.5546875" style="1" customWidth="1"/>
    <col min="6404" max="6404" width="6.109375" style="1" customWidth="1"/>
    <col min="6405" max="6406" width="24.6640625" style="1" customWidth="1"/>
    <col min="6407" max="6407" width="27.6640625" style="1" customWidth="1"/>
    <col min="6408" max="6658" width="9.109375" style="1"/>
    <col min="6659" max="6659" width="40.5546875" style="1" customWidth="1"/>
    <col min="6660" max="6660" width="6.109375" style="1" customWidth="1"/>
    <col min="6661" max="6662" width="24.6640625" style="1" customWidth="1"/>
    <col min="6663" max="6663" width="27.6640625" style="1" customWidth="1"/>
    <col min="6664" max="6914" width="9.109375" style="1"/>
    <col min="6915" max="6915" width="40.5546875" style="1" customWidth="1"/>
    <col min="6916" max="6916" width="6.109375" style="1" customWidth="1"/>
    <col min="6917" max="6918" width="24.6640625" style="1" customWidth="1"/>
    <col min="6919" max="6919" width="27.6640625" style="1" customWidth="1"/>
    <col min="6920" max="7170" width="9.109375" style="1"/>
    <col min="7171" max="7171" width="40.5546875" style="1" customWidth="1"/>
    <col min="7172" max="7172" width="6.109375" style="1" customWidth="1"/>
    <col min="7173" max="7174" width="24.6640625" style="1" customWidth="1"/>
    <col min="7175" max="7175" width="27.6640625" style="1" customWidth="1"/>
    <col min="7176" max="7426" width="9.109375" style="1"/>
    <col min="7427" max="7427" width="40.5546875" style="1" customWidth="1"/>
    <col min="7428" max="7428" width="6.109375" style="1" customWidth="1"/>
    <col min="7429" max="7430" width="24.6640625" style="1" customWidth="1"/>
    <col min="7431" max="7431" width="27.6640625" style="1" customWidth="1"/>
    <col min="7432" max="7682" width="9.109375" style="1"/>
    <col min="7683" max="7683" width="40.5546875" style="1" customWidth="1"/>
    <col min="7684" max="7684" width="6.109375" style="1" customWidth="1"/>
    <col min="7685" max="7686" width="24.6640625" style="1" customWidth="1"/>
    <col min="7687" max="7687" width="27.6640625" style="1" customWidth="1"/>
    <col min="7688" max="7938" width="9.109375" style="1"/>
    <col min="7939" max="7939" width="40.5546875" style="1" customWidth="1"/>
    <col min="7940" max="7940" width="6.109375" style="1" customWidth="1"/>
    <col min="7941" max="7942" width="24.6640625" style="1" customWidth="1"/>
    <col min="7943" max="7943" width="27.6640625" style="1" customWidth="1"/>
    <col min="7944" max="8194" width="9.109375" style="1"/>
    <col min="8195" max="8195" width="40.5546875" style="1" customWidth="1"/>
    <col min="8196" max="8196" width="6.109375" style="1" customWidth="1"/>
    <col min="8197" max="8198" width="24.6640625" style="1" customWidth="1"/>
    <col min="8199" max="8199" width="27.6640625" style="1" customWidth="1"/>
    <col min="8200" max="8450" width="9.109375" style="1"/>
    <col min="8451" max="8451" width="40.5546875" style="1" customWidth="1"/>
    <col min="8452" max="8452" width="6.109375" style="1" customWidth="1"/>
    <col min="8453" max="8454" width="24.6640625" style="1" customWidth="1"/>
    <col min="8455" max="8455" width="27.6640625" style="1" customWidth="1"/>
    <col min="8456" max="8706" width="9.109375" style="1"/>
    <col min="8707" max="8707" width="40.5546875" style="1" customWidth="1"/>
    <col min="8708" max="8708" width="6.109375" style="1" customWidth="1"/>
    <col min="8709" max="8710" width="24.6640625" style="1" customWidth="1"/>
    <col min="8711" max="8711" width="27.6640625" style="1" customWidth="1"/>
    <col min="8712" max="8962" width="9.109375" style="1"/>
    <col min="8963" max="8963" width="40.5546875" style="1" customWidth="1"/>
    <col min="8964" max="8964" width="6.109375" style="1" customWidth="1"/>
    <col min="8965" max="8966" width="24.6640625" style="1" customWidth="1"/>
    <col min="8967" max="8967" width="27.6640625" style="1" customWidth="1"/>
    <col min="8968" max="9218" width="9.109375" style="1"/>
    <col min="9219" max="9219" width="40.5546875" style="1" customWidth="1"/>
    <col min="9220" max="9220" width="6.109375" style="1" customWidth="1"/>
    <col min="9221" max="9222" width="24.6640625" style="1" customWidth="1"/>
    <col min="9223" max="9223" width="27.6640625" style="1" customWidth="1"/>
    <col min="9224" max="9474" width="9.109375" style="1"/>
    <col min="9475" max="9475" width="40.5546875" style="1" customWidth="1"/>
    <col min="9476" max="9476" width="6.109375" style="1" customWidth="1"/>
    <col min="9477" max="9478" width="24.6640625" style="1" customWidth="1"/>
    <col min="9479" max="9479" width="27.6640625" style="1" customWidth="1"/>
    <col min="9480" max="9730" width="9.109375" style="1"/>
    <col min="9731" max="9731" width="40.5546875" style="1" customWidth="1"/>
    <col min="9732" max="9732" width="6.109375" style="1" customWidth="1"/>
    <col min="9733" max="9734" width="24.6640625" style="1" customWidth="1"/>
    <col min="9735" max="9735" width="27.6640625" style="1" customWidth="1"/>
    <col min="9736" max="9986" width="9.109375" style="1"/>
    <col min="9987" max="9987" width="40.5546875" style="1" customWidth="1"/>
    <col min="9988" max="9988" width="6.109375" style="1" customWidth="1"/>
    <col min="9989" max="9990" width="24.6640625" style="1" customWidth="1"/>
    <col min="9991" max="9991" width="27.6640625" style="1" customWidth="1"/>
    <col min="9992" max="10242" width="9.109375" style="1"/>
    <col min="10243" max="10243" width="40.5546875" style="1" customWidth="1"/>
    <col min="10244" max="10244" width="6.109375" style="1" customWidth="1"/>
    <col min="10245" max="10246" width="24.6640625" style="1" customWidth="1"/>
    <col min="10247" max="10247" width="27.6640625" style="1" customWidth="1"/>
    <col min="10248" max="10498" width="9.109375" style="1"/>
    <col min="10499" max="10499" width="40.5546875" style="1" customWidth="1"/>
    <col min="10500" max="10500" width="6.109375" style="1" customWidth="1"/>
    <col min="10501" max="10502" width="24.6640625" style="1" customWidth="1"/>
    <col min="10503" max="10503" width="27.6640625" style="1" customWidth="1"/>
    <col min="10504" max="10754" width="9.109375" style="1"/>
    <col min="10755" max="10755" width="40.5546875" style="1" customWidth="1"/>
    <col min="10756" max="10756" width="6.109375" style="1" customWidth="1"/>
    <col min="10757" max="10758" width="24.6640625" style="1" customWidth="1"/>
    <col min="10759" max="10759" width="27.6640625" style="1" customWidth="1"/>
    <col min="10760" max="11010" width="9.109375" style="1"/>
    <col min="11011" max="11011" width="40.5546875" style="1" customWidth="1"/>
    <col min="11012" max="11012" width="6.109375" style="1" customWidth="1"/>
    <col min="11013" max="11014" width="24.6640625" style="1" customWidth="1"/>
    <col min="11015" max="11015" width="27.6640625" style="1" customWidth="1"/>
    <col min="11016" max="11266" width="9.109375" style="1"/>
    <col min="11267" max="11267" width="40.5546875" style="1" customWidth="1"/>
    <col min="11268" max="11268" width="6.109375" style="1" customWidth="1"/>
    <col min="11269" max="11270" width="24.6640625" style="1" customWidth="1"/>
    <col min="11271" max="11271" width="27.6640625" style="1" customWidth="1"/>
    <col min="11272" max="11522" width="9.109375" style="1"/>
    <col min="11523" max="11523" width="40.5546875" style="1" customWidth="1"/>
    <col min="11524" max="11524" width="6.109375" style="1" customWidth="1"/>
    <col min="11525" max="11526" width="24.6640625" style="1" customWidth="1"/>
    <col min="11527" max="11527" width="27.6640625" style="1" customWidth="1"/>
    <col min="11528" max="11778" width="9.109375" style="1"/>
    <col min="11779" max="11779" width="40.5546875" style="1" customWidth="1"/>
    <col min="11780" max="11780" width="6.109375" style="1" customWidth="1"/>
    <col min="11781" max="11782" width="24.6640625" style="1" customWidth="1"/>
    <col min="11783" max="11783" width="27.6640625" style="1" customWidth="1"/>
    <col min="11784" max="12034" width="9.109375" style="1"/>
    <col min="12035" max="12035" width="40.5546875" style="1" customWidth="1"/>
    <col min="12036" max="12036" width="6.109375" style="1" customWidth="1"/>
    <col min="12037" max="12038" width="24.6640625" style="1" customWidth="1"/>
    <col min="12039" max="12039" width="27.6640625" style="1" customWidth="1"/>
    <col min="12040" max="12290" width="9.109375" style="1"/>
    <col min="12291" max="12291" width="40.5546875" style="1" customWidth="1"/>
    <col min="12292" max="12292" width="6.109375" style="1" customWidth="1"/>
    <col min="12293" max="12294" width="24.6640625" style="1" customWidth="1"/>
    <col min="12295" max="12295" width="27.6640625" style="1" customWidth="1"/>
    <col min="12296" max="12546" width="9.109375" style="1"/>
    <col min="12547" max="12547" width="40.5546875" style="1" customWidth="1"/>
    <col min="12548" max="12548" width="6.109375" style="1" customWidth="1"/>
    <col min="12549" max="12550" width="24.6640625" style="1" customWidth="1"/>
    <col min="12551" max="12551" width="27.6640625" style="1" customWidth="1"/>
    <col min="12552" max="12802" width="9.109375" style="1"/>
    <col min="12803" max="12803" width="40.5546875" style="1" customWidth="1"/>
    <col min="12804" max="12804" width="6.109375" style="1" customWidth="1"/>
    <col min="12805" max="12806" width="24.6640625" style="1" customWidth="1"/>
    <col min="12807" max="12807" width="27.6640625" style="1" customWidth="1"/>
    <col min="12808" max="13058" width="9.109375" style="1"/>
    <col min="13059" max="13059" width="40.5546875" style="1" customWidth="1"/>
    <col min="13060" max="13060" width="6.109375" style="1" customWidth="1"/>
    <col min="13061" max="13062" width="24.6640625" style="1" customWidth="1"/>
    <col min="13063" max="13063" width="27.6640625" style="1" customWidth="1"/>
    <col min="13064" max="13314" width="9.109375" style="1"/>
    <col min="13315" max="13315" width="40.5546875" style="1" customWidth="1"/>
    <col min="13316" max="13316" width="6.109375" style="1" customWidth="1"/>
    <col min="13317" max="13318" width="24.6640625" style="1" customWidth="1"/>
    <col min="13319" max="13319" width="27.6640625" style="1" customWidth="1"/>
    <col min="13320" max="13570" width="9.109375" style="1"/>
    <col min="13571" max="13571" width="40.5546875" style="1" customWidth="1"/>
    <col min="13572" max="13572" width="6.109375" style="1" customWidth="1"/>
    <col min="13573" max="13574" width="24.6640625" style="1" customWidth="1"/>
    <col min="13575" max="13575" width="27.6640625" style="1" customWidth="1"/>
    <col min="13576" max="13826" width="9.109375" style="1"/>
    <col min="13827" max="13827" width="40.5546875" style="1" customWidth="1"/>
    <col min="13828" max="13828" width="6.109375" style="1" customWidth="1"/>
    <col min="13829" max="13830" width="24.6640625" style="1" customWidth="1"/>
    <col min="13831" max="13831" width="27.6640625" style="1" customWidth="1"/>
    <col min="13832" max="14082" width="9.109375" style="1"/>
    <col min="14083" max="14083" width="40.5546875" style="1" customWidth="1"/>
    <col min="14084" max="14084" width="6.109375" style="1" customWidth="1"/>
    <col min="14085" max="14086" width="24.6640625" style="1" customWidth="1"/>
    <col min="14087" max="14087" width="27.6640625" style="1" customWidth="1"/>
    <col min="14088" max="14338" width="9.109375" style="1"/>
    <col min="14339" max="14339" width="40.5546875" style="1" customWidth="1"/>
    <col min="14340" max="14340" width="6.109375" style="1" customWidth="1"/>
    <col min="14341" max="14342" width="24.6640625" style="1" customWidth="1"/>
    <col min="14343" max="14343" width="27.6640625" style="1" customWidth="1"/>
    <col min="14344" max="14594" width="9.109375" style="1"/>
    <col min="14595" max="14595" width="40.5546875" style="1" customWidth="1"/>
    <col min="14596" max="14596" width="6.109375" style="1" customWidth="1"/>
    <col min="14597" max="14598" width="24.6640625" style="1" customWidth="1"/>
    <col min="14599" max="14599" width="27.6640625" style="1" customWidth="1"/>
    <col min="14600" max="14850" width="9.109375" style="1"/>
    <col min="14851" max="14851" width="40.5546875" style="1" customWidth="1"/>
    <col min="14852" max="14852" width="6.109375" style="1" customWidth="1"/>
    <col min="14853" max="14854" width="24.6640625" style="1" customWidth="1"/>
    <col min="14855" max="14855" width="27.6640625" style="1" customWidth="1"/>
    <col min="14856" max="15106" width="9.109375" style="1"/>
    <col min="15107" max="15107" width="40.5546875" style="1" customWidth="1"/>
    <col min="15108" max="15108" width="6.109375" style="1" customWidth="1"/>
    <col min="15109" max="15110" width="24.6640625" style="1" customWidth="1"/>
    <col min="15111" max="15111" width="27.6640625" style="1" customWidth="1"/>
    <col min="15112" max="15362" width="9.109375" style="1"/>
    <col min="15363" max="15363" width="40.5546875" style="1" customWidth="1"/>
    <col min="15364" max="15364" width="6.109375" style="1" customWidth="1"/>
    <col min="15365" max="15366" width="24.6640625" style="1" customWidth="1"/>
    <col min="15367" max="15367" width="27.6640625" style="1" customWidth="1"/>
    <col min="15368" max="15618" width="9.109375" style="1"/>
    <col min="15619" max="15619" width="40.5546875" style="1" customWidth="1"/>
    <col min="15620" max="15620" width="6.109375" style="1" customWidth="1"/>
    <col min="15621" max="15622" width="24.6640625" style="1" customWidth="1"/>
    <col min="15623" max="15623" width="27.6640625" style="1" customWidth="1"/>
    <col min="15624" max="15874" width="9.109375" style="1"/>
    <col min="15875" max="15875" width="40.5546875" style="1" customWidth="1"/>
    <col min="15876" max="15876" width="6.109375" style="1" customWidth="1"/>
    <col min="15877" max="15878" width="24.6640625" style="1" customWidth="1"/>
    <col min="15879" max="15879" width="27.6640625" style="1" customWidth="1"/>
    <col min="15880" max="16130" width="9.109375" style="1"/>
    <col min="16131" max="16131" width="40.5546875" style="1" customWidth="1"/>
    <col min="16132" max="16132" width="6.109375" style="1" customWidth="1"/>
    <col min="16133" max="16134" width="24.6640625" style="1" customWidth="1"/>
    <col min="16135" max="16135" width="27.6640625" style="1" customWidth="1"/>
    <col min="16136" max="16384" width="9.109375" style="1"/>
  </cols>
  <sheetData>
    <row r="1" spans="2:8" ht="23.4" x14ac:dyDescent="0.45">
      <c r="B1" s="3" t="s">
        <v>121</v>
      </c>
      <c r="C1" s="3"/>
      <c r="D1" s="3"/>
      <c r="E1" s="24"/>
      <c r="F1" s="24"/>
      <c r="G1" s="24"/>
      <c r="H1" s="24"/>
    </row>
    <row r="2" spans="2:8" ht="22.95" customHeight="1" x14ac:dyDescent="0.45">
      <c r="B2" s="8" t="s">
        <v>37</v>
      </c>
      <c r="C2" s="3"/>
      <c r="D2" s="3"/>
      <c r="E2" s="67"/>
      <c r="F2" s="288" t="s">
        <v>135</v>
      </c>
      <c r="G2" s="288" t="s">
        <v>134</v>
      </c>
      <c r="H2" s="288" t="s">
        <v>146</v>
      </c>
    </row>
    <row r="3" spans="2:8" ht="22.95" customHeight="1" x14ac:dyDescent="0.45">
      <c r="B3" s="8"/>
      <c r="C3" s="3"/>
      <c r="D3" s="3"/>
      <c r="E3" s="288" t="s">
        <v>137</v>
      </c>
      <c r="F3" s="288"/>
      <c r="G3" s="288"/>
      <c r="H3" s="288"/>
    </row>
    <row r="4" spans="2:8" ht="21.6" customHeight="1" thickBot="1" x14ac:dyDescent="0.5">
      <c r="C4" s="3"/>
      <c r="D4" s="6" t="s">
        <v>119</v>
      </c>
      <c r="E4" s="289"/>
      <c r="F4" s="289"/>
      <c r="G4" s="289"/>
      <c r="H4" s="289"/>
    </row>
    <row r="5" spans="2:8" ht="21.6" thickBot="1" x14ac:dyDescent="0.45">
      <c r="B5" s="228" t="s">
        <v>133</v>
      </c>
      <c r="C5" s="2"/>
      <c r="D5" s="5" t="s">
        <v>26</v>
      </c>
      <c r="E5" s="5" t="s">
        <v>26</v>
      </c>
      <c r="F5" s="5" t="s">
        <v>26</v>
      </c>
      <c r="G5" s="5" t="s">
        <v>26</v>
      </c>
      <c r="H5" s="5" t="s">
        <v>26</v>
      </c>
    </row>
    <row r="6" spans="2:8" ht="18.600000000000001" thickBot="1" x14ac:dyDescent="0.35">
      <c r="B6" s="44" t="s">
        <v>0</v>
      </c>
      <c r="C6" s="45"/>
      <c r="D6" s="61" t="s">
        <v>43</v>
      </c>
      <c r="E6" s="61" t="s">
        <v>43</v>
      </c>
      <c r="F6" s="61" t="s">
        <v>43</v>
      </c>
      <c r="G6" s="61" t="s">
        <v>43</v>
      </c>
      <c r="H6" s="61" t="s">
        <v>43</v>
      </c>
    </row>
    <row r="7" spans="2:8" ht="15.6" customHeight="1" x14ac:dyDescent="0.3">
      <c r="B7" s="42" t="s">
        <v>1</v>
      </c>
      <c r="C7" s="43"/>
      <c r="D7" s="68" t="s">
        <v>41</v>
      </c>
      <c r="E7" s="206" t="s">
        <v>117</v>
      </c>
      <c r="F7" s="206" t="s">
        <v>117</v>
      </c>
      <c r="G7" s="206" t="s">
        <v>117</v>
      </c>
      <c r="H7" s="206" t="s">
        <v>117</v>
      </c>
    </row>
    <row r="8" spans="2:8" ht="15.6" customHeight="1" thickBot="1" x14ac:dyDescent="0.35">
      <c r="B8" s="42" t="s">
        <v>6</v>
      </c>
      <c r="C8" s="43"/>
      <c r="D8" s="279" t="s">
        <v>41</v>
      </c>
      <c r="E8" s="280" t="s">
        <v>117</v>
      </c>
      <c r="F8" s="280" t="s">
        <v>117</v>
      </c>
      <c r="G8" s="280" t="s">
        <v>117</v>
      </c>
      <c r="H8" s="280" t="s">
        <v>117</v>
      </c>
    </row>
    <row r="9" spans="2:8" ht="15.6" hidden="1" customHeight="1" x14ac:dyDescent="0.3">
      <c r="B9" s="42" t="s">
        <v>4</v>
      </c>
      <c r="C9" s="43"/>
      <c r="D9" s="70" t="s">
        <v>5</v>
      </c>
      <c r="E9" s="70" t="s">
        <v>5</v>
      </c>
      <c r="F9" s="70" t="s">
        <v>5</v>
      </c>
      <c r="G9" s="70" t="s">
        <v>5</v>
      </c>
      <c r="H9" s="70" t="s">
        <v>5</v>
      </c>
    </row>
    <row r="10" spans="2:8" ht="15.6" hidden="1" customHeight="1" x14ac:dyDescent="0.3">
      <c r="B10" s="42" t="s">
        <v>2</v>
      </c>
      <c r="C10" s="43"/>
      <c r="D10" s="71" t="s">
        <v>3</v>
      </c>
      <c r="E10" s="71" t="s">
        <v>3</v>
      </c>
      <c r="F10" s="71" t="s">
        <v>3</v>
      </c>
      <c r="G10" s="71" t="s">
        <v>3</v>
      </c>
      <c r="H10" s="71" t="s">
        <v>3</v>
      </c>
    </row>
    <row r="11" spans="2:8" ht="15.6" hidden="1" customHeight="1" x14ac:dyDescent="0.3">
      <c r="B11" s="42" t="s">
        <v>7</v>
      </c>
      <c r="C11" s="43"/>
      <c r="D11" s="69" t="s">
        <v>20</v>
      </c>
      <c r="E11" s="69" t="s">
        <v>51</v>
      </c>
      <c r="F11" s="69" t="s">
        <v>51</v>
      </c>
      <c r="G11" s="69" t="s">
        <v>51</v>
      </c>
      <c r="H11" s="69" t="s">
        <v>51</v>
      </c>
    </row>
    <row r="12" spans="2:8" ht="15.6" hidden="1" customHeight="1" x14ac:dyDescent="0.3">
      <c r="B12" s="42" t="s">
        <v>8</v>
      </c>
      <c r="C12" s="43"/>
      <c r="D12" s="70" t="s">
        <v>5</v>
      </c>
      <c r="E12" s="70" t="s">
        <v>5</v>
      </c>
      <c r="F12" s="70" t="s">
        <v>5</v>
      </c>
      <c r="G12" s="70" t="s">
        <v>5</v>
      </c>
      <c r="H12" s="70" t="s">
        <v>5</v>
      </c>
    </row>
    <row r="13" spans="2:8" ht="15.6" hidden="1" customHeight="1" x14ac:dyDescent="0.3">
      <c r="B13" s="42" t="s">
        <v>27</v>
      </c>
      <c r="C13" s="43"/>
      <c r="D13" s="71">
        <v>2700</v>
      </c>
      <c r="E13" s="207">
        <v>3000</v>
      </c>
      <c r="F13" s="207">
        <v>3000</v>
      </c>
      <c r="G13" s="207">
        <v>3000</v>
      </c>
      <c r="H13" s="207">
        <v>3000</v>
      </c>
    </row>
    <row r="14" spans="2:8" ht="15.6" hidden="1" customHeight="1" x14ac:dyDescent="0.3">
      <c r="B14" s="42" t="s">
        <v>44</v>
      </c>
      <c r="C14" s="43"/>
      <c r="D14" s="71">
        <v>5400</v>
      </c>
      <c r="E14" s="207">
        <v>6000</v>
      </c>
      <c r="F14" s="207">
        <v>6000</v>
      </c>
      <c r="G14" s="207">
        <v>6000</v>
      </c>
      <c r="H14" s="207">
        <v>6000</v>
      </c>
    </row>
    <row r="15" spans="2:8" ht="15.6" hidden="1" customHeight="1" x14ac:dyDescent="0.3">
      <c r="B15" s="42" t="s">
        <v>28</v>
      </c>
      <c r="C15" s="43"/>
      <c r="D15" s="71">
        <v>5400</v>
      </c>
      <c r="E15" s="207">
        <v>6000</v>
      </c>
      <c r="F15" s="207">
        <v>6000</v>
      </c>
      <c r="G15" s="207">
        <v>6000</v>
      </c>
      <c r="H15" s="207">
        <v>6000</v>
      </c>
    </row>
    <row r="16" spans="2:8" ht="15.6" hidden="1" customHeight="1" x14ac:dyDescent="0.3">
      <c r="B16" s="42" t="s">
        <v>9</v>
      </c>
      <c r="C16" s="43"/>
      <c r="D16" s="26" t="s">
        <v>45</v>
      </c>
      <c r="E16" s="26" t="s">
        <v>45</v>
      </c>
      <c r="F16" s="26" t="s">
        <v>45</v>
      </c>
      <c r="G16" s="26" t="s">
        <v>45</v>
      </c>
      <c r="H16" s="26" t="s">
        <v>45</v>
      </c>
    </row>
    <row r="17" spans="2:8" ht="28.8" hidden="1" customHeight="1" thickBot="1" x14ac:dyDescent="0.35">
      <c r="B17" s="290" t="s">
        <v>10</v>
      </c>
      <c r="C17" s="291"/>
      <c r="D17" s="27" t="s">
        <v>129</v>
      </c>
      <c r="E17" s="27" t="s">
        <v>129</v>
      </c>
      <c r="F17" s="27" t="s">
        <v>129</v>
      </c>
      <c r="G17" s="27" t="s">
        <v>129</v>
      </c>
      <c r="H17" s="27" t="s">
        <v>129</v>
      </c>
    </row>
    <row r="18" spans="2:8" ht="18.600000000000001" hidden="1" thickBot="1" x14ac:dyDescent="0.35">
      <c r="B18" s="44" t="s">
        <v>11</v>
      </c>
      <c r="C18" s="46"/>
      <c r="D18" s="47"/>
      <c r="E18" s="47"/>
      <c r="F18" s="47"/>
      <c r="G18" s="47"/>
      <c r="H18" s="47"/>
    </row>
    <row r="19" spans="2:8" ht="15.6" hidden="1" customHeight="1" x14ac:dyDescent="0.3">
      <c r="B19" s="42" t="s">
        <v>12</v>
      </c>
      <c r="C19" s="43"/>
      <c r="D19" s="28">
        <v>0</v>
      </c>
      <c r="E19" s="28"/>
      <c r="F19" s="28"/>
      <c r="G19" s="28"/>
      <c r="H19" s="28"/>
    </row>
    <row r="20" spans="2:8" ht="15.6" hidden="1" customHeight="1" x14ac:dyDescent="0.3">
      <c r="B20" s="42" t="s">
        <v>81</v>
      </c>
      <c r="C20" s="43"/>
      <c r="D20" s="65" t="s">
        <v>47</v>
      </c>
      <c r="E20" s="69" t="s">
        <v>53</v>
      </c>
      <c r="F20" s="69" t="s">
        <v>53</v>
      </c>
      <c r="G20" s="69" t="s">
        <v>53</v>
      </c>
      <c r="H20" s="69" t="s">
        <v>53</v>
      </c>
    </row>
    <row r="21" spans="2:8" ht="15.6" hidden="1" customHeight="1" x14ac:dyDescent="0.3">
      <c r="B21" s="42" t="s">
        <v>13</v>
      </c>
      <c r="C21" s="43"/>
      <c r="D21" s="65" t="s">
        <v>47</v>
      </c>
      <c r="E21" s="65"/>
      <c r="F21" s="65"/>
      <c r="G21" s="65"/>
      <c r="H21" s="65"/>
    </row>
    <row r="22" spans="2:8" ht="15.6" hidden="1" customHeight="1" x14ac:dyDescent="0.3">
      <c r="B22" s="42" t="s">
        <v>79</v>
      </c>
      <c r="C22" s="43"/>
      <c r="D22" s="65" t="s">
        <v>47</v>
      </c>
      <c r="E22" s="65"/>
      <c r="F22" s="65"/>
      <c r="G22" s="65"/>
      <c r="H22" s="65"/>
    </row>
    <row r="23" spans="2:8" ht="15.6" hidden="1" customHeight="1" x14ac:dyDescent="0.3">
      <c r="B23" s="42" t="s">
        <v>14</v>
      </c>
      <c r="C23" s="43"/>
      <c r="D23" s="65" t="s">
        <v>47</v>
      </c>
      <c r="E23" s="65"/>
      <c r="F23" s="65"/>
      <c r="G23" s="65"/>
      <c r="H23" s="65"/>
    </row>
    <row r="24" spans="2:8" ht="15.6" hidden="1" customHeight="1" x14ac:dyDescent="0.3">
      <c r="B24" s="42" t="s">
        <v>80</v>
      </c>
      <c r="C24" s="43"/>
      <c r="D24" s="65" t="s">
        <v>47</v>
      </c>
      <c r="E24" s="65"/>
      <c r="F24" s="65"/>
      <c r="G24" s="65"/>
      <c r="H24" s="65"/>
    </row>
    <row r="25" spans="2:8" ht="15.6" hidden="1" customHeight="1" x14ac:dyDescent="0.3">
      <c r="B25" s="42" t="s">
        <v>126</v>
      </c>
      <c r="C25" s="43"/>
      <c r="D25" s="65" t="s">
        <v>127</v>
      </c>
      <c r="E25" s="210" t="s">
        <v>128</v>
      </c>
      <c r="F25" s="210" t="s">
        <v>128</v>
      </c>
      <c r="G25" s="210" t="s">
        <v>128</v>
      </c>
      <c r="H25" s="210" t="s">
        <v>128</v>
      </c>
    </row>
    <row r="26" spans="2:8" ht="16.2" hidden="1" customHeight="1" x14ac:dyDescent="0.3">
      <c r="B26" s="42" t="s">
        <v>15</v>
      </c>
      <c r="C26" s="43"/>
      <c r="D26" s="65" t="s">
        <v>47</v>
      </c>
      <c r="E26" s="65"/>
      <c r="F26" s="65"/>
      <c r="G26" s="65"/>
      <c r="H26" s="65"/>
    </row>
    <row r="27" spans="2:8" ht="16.95" hidden="1" customHeight="1" thickBot="1" x14ac:dyDescent="0.35">
      <c r="B27" s="42" t="s">
        <v>46</v>
      </c>
      <c r="C27" s="43"/>
      <c r="D27" s="41" t="s">
        <v>49</v>
      </c>
      <c r="E27" s="41"/>
      <c r="F27" s="41"/>
      <c r="G27" s="41"/>
      <c r="H27" s="41"/>
    </row>
    <row r="28" spans="2:8" hidden="1" x14ac:dyDescent="0.3">
      <c r="B28" s="29" t="s">
        <v>16</v>
      </c>
      <c r="C28" s="30"/>
      <c r="D28" s="65" t="s">
        <v>25</v>
      </c>
      <c r="E28" s="65" t="s">
        <v>25</v>
      </c>
      <c r="F28" s="65" t="s">
        <v>25</v>
      </c>
      <c r="G28" s="65" t="s">
        <v>25</v>
      </c>
      <c r="H28" s="65" t="s">
        <v>25</v>
      </c>
    </row>
    <row r="29" spans="2:8" hidden="1" x14ac:dyDescent="0.3">
      <c r="B29" s="31" t="s">
        <v>17</v>
      </c>
      <c r="C29" s="25"/>
      <c r="D29" s="65" t="s">
        <v>25</v>
      </c>
      <c r="E29" s="65" t="s">
        <v>25</v>
      </c>
      <c r="F29" s="65" t="s">
        <v>25</v>
      </c>
      <c r="G29" s="65" t="s">
        <v>25</v>
      </c>
      <c r="H29" s="65" t="s">
        <v>25</v>
      </c>
    </row>
    <row r="30" spans="2:8" hidden="1" x14ac:dyDescent="0.3">
      <c r="B30" s="31" t="s">
        <v>18</v>
      </c>
      <c r="C30" s="25"/>
      <c r="D30" s="65" t="s">
        <v>25</v>
      </c>
      <c r="E30" s="65" t="s">
        <v>25</v>
      </c>
      <c r="F30" s="65" t="s">
        <v>25</v>
      </c>
      <c r="G30" s="65" t="s">
        <v>25</v>
      </c>
      <c r="H30" s="65" t="s">
        <v>25</v>
      </c>
    </row>
    <row r="31" spans="2:8" hidden="1" x14ac:dyDescent="0.3">
      <c r="B31" s="31" t="s">
        <v>19</v>
      </c>
      <c r="C31" s="25"/>
      <c r="D31" s="65" t="s">
        <v>25</v>
      </c>
      <c r="E31" s="65" t="s">
        <v>25</v>
      </c>
      <c r="F31" s="65" t="s">
        <v>25</v>
      </c>
      <c r="G31" s="65" t="s">
        <v>25</v>
      </c>
      <c r="H31" s="65" t="s">
        <v>25</v>
      </c>
    </row>
    <row r="32" spans="2:8" hidden="1" x14ac:dyDescent="0.3">
      <c r="B32" s="43"/>
      <c r="C32" s="43"/>
      <c r="D32" s="232"/>
      <c r="E32" s="232"/>
      <c r="F32" s="232"/>
      <c r="G32" s="232"/>
      <c r="H32" s="232"/>
    </row>
    <row r="33" spans="2:12" ht="22.95" customHeight="1" thickBot="1" x14ac:dyDescent="0.45">
      <c r="B33" s="135" t="s">
        <v>38</v>
      </c>
      <c r="C33" s="32"/>
      <c r="D33" s="32"/>
      <c r="E33" s="32"/>
      <c r="F33" s="32"/>
      <c r="G33" s="32"/>
      <c r="H33" s="32"/>
    </row>
    <row r="34" spans="2:12" s="9" customFormat="1" ht="16.95" customHeight="1" thickTop="1" x14ac:dyDescent="0.35">
      <c r="B34" s="35" t="s">
        <v>21</v>
      </c>
      <c r="C34" s="36">
        <v>18</v>
      </c>
      <c r="D34" s="48">
        <f>SUM(651.82+17.5)</f>
        <v>669.32</v>
      </c>
      <c r="E34" s="48">
        <f>SUM(682.62+18)</f>
        <v>700.62</v>
      </c>
      <c r="F34" s="48">
        <f>SUM(682.62+18)</f>
        <v>700.62</v>
      </c>
      <c r="G34" s="48">
        <f>SUM(682.62+18)</f>
        <v>700.62</v>
      </c>
      <c r="H34" s="75">
        <f>SUM(682.62+18)</f>
        <v>700.62</v>
      </c>
      <c r="L34" s="139"/>
    </row>
    <row r="35" spans="2:12" s="9" customFormat="1" ht="16.95" customHeight="1" x14ac:dyDescent="0.35">
      <c r="B35" s="37" t="s">
        <v>22</v>
      </c>
      <c r="C35" s="33">
        <v>2</v>
      </c>
      <c r="D35" s="49">
        <f>SUM(1303.64+17.5)</f>
        <v>1321.14</v>
      </c>
      <c r="E35" s="49">
        <f>SUM(1365.24+18)</f>
        <v>1383.24</v>
      </c>
      <c r="F35" s="49">
        <f>SUM(1365.24+18)</f>
        <v>1383.24</v>
      </c>
      <c r="G35" s="49">
        <f>SUM(1365.24+18)</f>
        <v>1383.24</v>
      </c>
      <c r="H35" s="76">
        <f>SUM(1365.24+18)</f>
        <v>1383.24</v>
      </c>
    </row>
    <row r="36" spans="2:12" s="9" customFormat="1" ht="16.95" customHeight="1" x14ac:dyDescent="0.35">
      <c r="B36" s="37" t="s">
        <v>23</v>
      </c>
      <c r="C36" s="33">
        <v>1</v>
      </c>
      <c r="D36" s="49">
        <f>SUM(1258.01+17.5)</f>
        <v>1275.51</v>
      </c>
      <c r="E36" s="49">
        <f>SUM(1317.46+18)</f>
        <v>1335.46</v>
      </c>
      <c r="F36" s="49">
        <f>SUM(1317.46+18)</f>
        <v>1335.46</v>
      </c>
      <c r="G36" s="49">
        <f>SUM(1317.46+18)</f>
        <v>1335.46</v>
      </c>
      <c r="H36" s="76">
        <f>SUM(1317.46+18)</f>
        <v>1335.46</v>
      </c>
    </row>
    <row r="37" spans="2:12" s="9" customFormat="1" ht="16.95" customHeight="1" x14ac:dyDescent="0.35">
      <c r="B37" s="37" t="s">
        <v>24</v>
      </c>
      <c r="C37" s="34">
        <v>2</v>
      </c>
      <c r="D37" s="50">
        <f>SUM(1831.61+17.5)</f>
        <v>1849.11</v>
      </c>
      <c r="E37" s="50">
        <f>SUM(1918.16+18)</f>
        <v>1936.16</v>
      </c>
      <c r="F37" s="50">
        <f>SUM(1918.16+18)</f>
        <v>1936.16</v>
      </c>
      <c r="G37" s="50">
        <f>SUM(1918.16+18)</f>
        <v>1936.16</v>
      </c>
      <c r="H37" s="77">
        <f>SUM(1918.16+18)</f>
        <v>1936.16</v>
      </c>
    </row>
    <row r="38" spans="2:12" s="12" customFormat="1" ht="21.6" thickBot="1" x14ac:dyDescent="0.45">
      <c r="B38" s="38" t="s">
        <v>31</v>
      </c>
      <c r="C38" s="39">
        <f>SUM(C34:C37)</f>
        <v>23</v>
      </c>
      <c r="D38" s="40">
        <f>SUM(($C$34*D34)+($C$35*D35)+($C$36*D36)+($C$37*D37))*12</f>
        <v>235965.24</v>
      </c>
      <c r="E38" s="51">
        <f>SUM(($C$34*E34)+($C$35*E35)+($C$36*E36)+($C$37*E37))*12</f>
        <v>247025.03999999998</v>
      </c>
      <c r="F38" s="51">
        <f>SUM(($C$34*F34)+($C$35*F35)+($C$36*F36)+($C$37*F37))*12</f>
        <v>247025.03999999998</v>
      </c>
      <c r="G38" s="51">
        <f>SUM(($C$34*G34)+($C$35*G35)+($C$36*G36)+($C$37*G37))*12</f>
        <v>247025.03999999998</v>
      </c>
      <c r="H38" s="78">
        <f>SUM(($C$34*H34)+($C$35*H35)+($C$36*H36)+($C$37*H37))*12</f>
        <v>247025.03999999998</v>
      </c>
    </row>
    <row r="39" spans="2:12" s="12" customFormat="1" ht="16.95" customHeight="1" thickTop="1" x14ac:dyDescent="0.4">
      <c r="B39" s="287" t="s">
        <v>132</v>
      </c>
      <c r="C39" s="287"/>
      <c r="D39" s="287"/>
      <c r="E39" s="140">
        <f>SUM(E38-$D$38)</f>
        <v>11059.799999999988</v>
      </c>
      <c r="F39" s="140">
        <f>SUM(F38-$D$38)</f>
        <v>11059.799999999988</v>
      </c>
      <c r="G39" s="140">
        <f>SUM(G38-$D$38)</f>
        <v>11059.799999999988</v>
      </c>
      <c r="H39" s="140">
        <f>SUM(H38-$D$38)</f>
        <v>11059.799999999988</v>
      </c>
    </row>
    <row r="40" spans="2:12" customFormat="1" ht="14.4" customHeight="1" x14ac:dyDescent="0.35">
      <c r="B40" s="141" t="s">
        <v>120</v>
      </c>
      <c r="C40" s="18"/>
      <c r="D40" s="18"/>
      <c r="E40" s="63">
        <f>SUM(E39/$D$38)</f>
        <v>4.6870462785111859E-2</v>
      </c>
      <c r="F40" s="63">
        <f>SUM(F39/$D$38)</f>
        <v>4.6870462785111859E-2</v>
      </c>
      <c r="G40" s="63">
        <f>SUM(G39/$D$38)</f>
        <v>4.6870462785111859E-2</v>
      </c>
      <c r="H40" s="63">
        <f>SUM(H39/$D$38)</f>
        <v>4.6870462785111859E-2</v>
      </c>
    </row>
    <row r="41" spans="2:12" customFormat="1" ht="26.4" customHeight="1" x14ac:dyDescent="0.4">
      <c r="B41" s="228" t="s">
        <v>36</v>
      </c>
      <c r="C41" s="64"/>
      <c r="D41" s="64"/>
      <c r="E41" s="4"/>
      <c r="F41" s="4"/>
      <c r="G41" s="4"/>
      <c r="H41" s="4"/>
    </row>
    <row r="42" spans="2:12" ht="16.2" customHeight="1" x14ac:dyDescent="0.35">
      <c r="B42" s="211" t="s">
        <v>33</v>
      </c>
      <c r="C42" s="212" t="s">
        <v>130</v>
      </c>
      <c r="D42" s="213">
        <f>SUM(D13)</f>
        <v>2700</v>
      </c>
      <c r="E42" s="214">
        <f>SUM(E13)</f>
        <v>3000</v>
      </c>
      <c r="F42" s="214">
        <v>3000</v>
      </c>
      <c r="G42" s="243"/>
      <c r="H42" s="243"/>
    </row>
    <row r="43" spans="2:12" ht="16.2" customHeight="1" x14ac:dyDescent="0.35">
      <c r="B43" s="211" t="s">
        <v>34</v>
      </c>
      <c r="C43" s="215">
        <v>38730</v>
      </c>
      <c r="D43" s="216">
        <f>SUM(D15)</f>
        <v>5400</v>
      </c>
      <c r="E43" s="217">
        <f>SUM(E15)</f>
        <v>6000</v>
      </c>
      <c r="F43" s="217">
        <v>6000</v>
      </c>
      <c r="G43" s="244"/>
      <c r="H43" s="244"/>
    </row>
    <row r="44" spans="2:12" s="9" customFormat="1" ht="16.95" customHeight="1" x14ac:dyDescent="0.35">
      <c r="B44" s="218" t="s">
        <v>35</v>
      </c>
      <c r="C44" s="219">
        <v>51061</v>
      </c>
      <c r="D44" s="214">
        <f>SUM((15*D13)+($C35*D15)+(C36*D15)+($C37*D15))</f>
        <v>67500</v>
      </c>
      <c r="E44" s="214">
        <f>SUM((15*E13)+($C35*E15)+(C36*E15)+($C37*E15))</f>
        <v>75000</v>
      </c>
      <c r="F44" s="214">
        <f>SUM((15*F13)+($C35*F15)+(C36*F15)+($C37*F15))</f>
        <v>75000</v>
      </c>
      <c r="G44" s="243"/>
      <c r="H44" s="243"/>
    </row>
    <row r="45" spans="2:12" s="9" customFormat="1" ht="16.95" customHeight="1" x14ac:dyDescent="0.35">
      <c r="B45" s="218" t="s">
        <v>131</v>
      </c>
      <c r="C45" s="220"/>
      <c r="D45" s="214">
        <f>SUM(C44)</f>
        <v>51061</v>
      </c>
      <c r="E45" s="214">
        <f>SUM($C$44*1.07)</f>
        <v>54635.270000000004</v>
      </c>
      <c r="F45" s="214">
        <f>SUM($C$44*1.07)</f>
        <v>54635.270000000004</v>
      </c>
      <c r="G45" s="243"/>
      <c r="H45" s="243"/>
    </row>
    <row r="46" spans="2:12" s="9" customFormat="1" ht="16.95" customHeight="1" x14ac:dyDescent="0.35">
      <c r="B46" s="218" t="s">
        <v>122</v>
      </c>
      <c r="C46" s="221"/>
      <c r="D46" s="214">
        <v>0</v>
      </c>
      <c r="E46" s="214">
        <f>SUM(15*2.5)*12</f>
        <v>450</v>
      </c>
      <c r="F46" s="214">
        <f>SUM(15*2.5)*12</f>
        <v>450</v>
      </c>
      <c r="G46" s="243"/>
      <c r="H46" s="243"/>
    </row>
    <row r="47" spans="2:12" s="9" customFormat="1" ht="16.95" customHeight="1" x14ac:dyDescent="0.35">
      <c r="B47" s="237" t="s">
        <v>83</v>
      </c>
      <c r="C47" s="158"/>
      <c r="D47" s="222">
        <f>SUM(D38+D45+D46)</f>
        <v>287026.24</v>
      </c>
      <c r="E47" s="222">
        <f>SUM(E38+E45+E46)</f>
        <v>302110.31</v>
      </c>
      <c r="F47" s="222">
        <f>SUM(F38+F45+F46)</f>
        <v>302110.31</v>
      </c>
      <c r="G47" s="245"/>
      <c r="H47" s="245"/>
    </row>
    <row r="48" spans="2:12" s="9" customFormat="1" ht="16.95" customHeight="1" x14ac:dyDescent="0.35">
      <c r="B48" s="237" t="s">
        <v>132</v>
      </c>
      <c r="C48" s="158"/>
      <c r="D48" s="222"/>
      <c r="E48" s="222">
        <f>E47-$D$47</f>
        <v>15084.070000000007</v>
      </c>
      <c r="F48" s="222">
        <f t="shared" ref="F48" si="0">F47-$D$47</f>
        <v>15084.070000000007</v>
      </c>
      <c r="G48" s="245"/>
      <c r="H48" s="245"/>
    </row>
    <row r="49" spans="2:13" s="9" customFormat="1" ht="24.6" customHeight="1" x14ac:dyDescent="0.35">
      <c r="B49" s="145"/>
      <c r="C49" s="146"/>
      <c r="D49" s="147"/>
      <c r="E49" s="147"/>
      <c r="F49" s="147"/>
      <c r="G49" s="147"/>
      <c r="H49" s="147"/>
      <c r="I49" s="148"/>
      <c r="J49" s="148"/>
    </row>
    <row r="50" spans="2:13" s="9" customFormat="1" ht="16.95" customHeight="1" x14ac:dyDescent="0.4">
      <c r="B50" s="225" t="s">
        <v>30</v>
      </c>
      <c r="C50" s="151"/>
      <c r="D50" s="152">
        <f>SUM(D38-D62)</f>
        <v>98685.239999999991</v>
      </c>
      <c r="E50" s="152">
        <f>SUM(E38-E62)</f>
        <v>109745.03999999998</v>
      </c>
      <c r="F50" s="152">
        <f>SUM(F38-F62)</f>
        <v>102439.03999999998</v>
      </c>
      <c r="G50" s="152">
        <f>SUM(G38-G62)</f>
        <v>161745.03999999998</v>
      </c>
      <c r="H50" s="152">
        <f>SUM(H38-H62)</f>
        <v>157585.03999999998</v>
      </c>
    </row>
    <row r="51" spans="2:13" s="56" customFormat="1" ht="19.2" customHeight="1" x14ac:dyDescent="0.3">
      <c r="B51" s="53" t="s">
        <v>82</v>
      </c>
      <c r="C51" s="54"/>
      <c r="D51" s="55">
        <f>SUM(D45+D50)+D46</f>
        <v>149746.23999999999</v>
      </c>
      <c r="E51" s="55">
        <f>SUM(E45+E50)+E46</f>
        <v>164830.31</v>
      </c>
      <c r="F51" s="55">
        <f>SUM(F45+F50)+F46</f>
        <v>157524.31</v>
      </c>
      <c r="G51" s="55"/>
      <c r="H51" s="55"/>
    </row>
    <row r="52" spans="2:13" ht="18.600000000000001" customHeight="1" x14ac:dyDescent="0.4">
      <c r="B52" s="150" t="s">
        <v>40</v>
      </c>
      <c r="C52" s="151"/>
      <c r="D52" s="152"/>
      <c r="E52" s="144">
        <f>SUM(E51-$D$51)</f>
        <v>15084.070000000007</v>
      </c>
      <c r="F52" s="144">
        <f>SUM(F51-$D$51)</f>
        <v>7778.070000000007</v>
      </c>
      <c r="G52" s="144"/>
      <c r="H52" s="144"/>
    </row>
    <row r="53" spans="2:13" ht="13.2" customHeight="1" x14ac:dyDescent="0.4">
      <c r="B53" s="160"/>
      <c r="C53" s="151"/>
      <c r="D53" s="152"/>
      <c r="E53" s="149">
        <f>SUM(E52/$D$51)</f>
        <v>0.10073087644804976</v>
      </c>
      <c r="F53" s="149">
        <f>SUM(F52/$D$51)</f>
        <v>5.1941671456992897E-2</v>
      </c>
      <c r="G53" s="149"/>
      <c r="H53" s="149"/>
    </row>
    <row r="54" spans="2:13" s="56" customFormat="1" ht="15.6" customHeight="1" x14ac:dyDescent="0.3">
      <c r="B54" s="162" t="s">
        <v>84</v>
      </c>
      <c r="C54" s="163"/>
      <c r="D54" s="161">
        <f>SUM(D51/D47)</f>
        <v>0.52171620267192298</v>
      </c>
      <c r="E54" s="161">
        <f>SUM(E51/E47)</f>
        <v>0.54559644124690743</v>
      </c>
      <c r="F54" s="161">
        <f>SUM(F51/F47)</f>
        <v>0.52141322154811598</v>
      </c>
      <c r="G54" s="161">
        <f>SUM(G50/G38)</f>
        <v>0.65477184013410139</v>
      </c>
      <c r="H54" s="161">
        <f>SUM(H50/H38)</f>
        <v>0.63793144209186237</v>
      </c>
    </row>
    <row r="55" spans="2:13" s="56" customFormat="1" ht="15.6" customHeight="1" x14ac:dyDescent="0.3">
      <c r="B55" s="233"/>
      <c r="C55" s="234"/>
      <c r="D55" s="235"/>
      <c r="E55" s="235"/>
      <c r="F55" s="235"/>
      <c r="G55" s="186"/>
      <c r="H55" s="186"/>
    </row>
    <row r="56" spans="2:13" ht="15" customHeight="1" thickBot="1" x14ac:dyDescent="0.4">
      <c r="B56" s="223" t="s">
        <v>32</v>
      </c>
      <c r="E56" s="62"/>
      <c r="F56" s="73" t="s">
        <v>147</v>
      </c>
      <c r="G56" s="62"/>
      <c r="H56" s="73" t="s">
        <v>147</v>
      </c>
      <c r="I56" s="187" t="s">
        <v>105</v>
      </c>
    </row>
    <row r="57" spans="2:13" s="9" customFormat="1" ht="16.95" customHeight="1" x14ac:dyDescent="0.35">
      <c r="B57" s="10" t="s">
        <v>21</v>
      </c>
      <c r="C57" s="21">
        <v>15</v>
      </c>
      <c r="D57" s="59">
        <v>90</v>
      </c>
      <c r="E57" s="248">
        <f>SUM($D$57)</f>
        <v>90</v>
      </c>
      <c r="F57" s="255">
        <v>95</v>
      </c>
      <c r="G57" s="59">
        <v>50</v>
      </c>
      <c r="H57" s="261">
        <v>52.5</v>
      </c>
      <c r="I57" s="188">
        <f>SUM(H57*52)</f>
        <v>2730</v>
      </c>
    </row>
    <row r="58" spans="2:13" s="9" customFormat="1" ht="16.95" customHeight="1" x14ac:dyDescent="0.35">
      <c r="B58" s="11" t="s">
        <v>22</v>
      </c>
      <c r="C58" s="18">
        <v>2</v>
      </c>
      <c r="D58" s="57">
        <v>200</v>
      </c>
      <c r="E58" s="249">
        <f>SUM($D$58)</f>
        <v>200</v>
      </c>
      <c r="F58" s="256">
        <v>210</v>
      </c>
      <c r="G58" s="57">
        <v>120</v>
      </c>
      <c r="H58" s="262">
        <v>125</v>
      </c>
      <c r="I58" s="189">
        <f t="shared" ref="I58:I59" si="1">SUM(H58*52)</f>
        <v>6500</v>
      </c>
      <c r="K58" s="284" t="s">
        <v>139</v>
      </c>
      <c r="L58" s="285"/>
      <c r="M58" s="286"/>
    </row>
    <row r="59" spans="2:13" s="9" customFormat="1" ht="16.95" customHeight="1" x14ac:dyDescent="0.35">
      <c r="B59" s="11" t="s">
        <v>23</v>
      </c>
      <c r="C59" s="18">
        <v>1</v>
      </c>
      <c r="D59" s="57">
        <v>200</v>
      </c>
      <c r="E59" s="249">
        <f>$D$59</f>
        <v>200</v>
      </c>
      <c r="F59" s="256">
        <v>210</v>
      </c>
      <c r="G59" s="57">
        <v>120</v>
      </c>
      <c r="H59" s="262">
        <v>125</v>
      </c>
      <c r="I59" s="189">
        <f t="shared" si="1"/>
        <v>6500</v>
      </c>
      <c r="K59" s="281" t="s">
        <v>140</v>
      </c>
      <c r="L59" s="282"/>
      <c r="M59" s="283"/>
    </row>
    <row r="60" spans="2:13" s="9" customFormat="1" ht="16.95" customHeight="1" thickBot="1" x14ac:dyDescent="0.4">
      <c r="B60" s="11" t="s">
        <v>24</v>
      </c>
      <c r="C60" s="18">
        <v>2</v>
      </c>
      <c r="D60" s="57">
        <v>270</v>
      </c>
      <c r="E60" s="249">
        <f>$D$60</f>
        <v>270</v>
      </c>
      <c r="F60" s="256">
        <v>284</v>
      </c>
      <c r="G60" s="57">
        <v>190</v>
      </c>
      <c r="H60" s="262">
        <v>200</v>
      </c>
      <c r="I60" s="246">
        <f>SUM(H60*52)</f>
        <v>10400</v>
      </c>
      <c r="K60" s="281" t="s">
        <v>141</v>
      </c>
      <c r="L60" s="282"/>
      <c r="M60" s="283"/>
    </row>
    <row r="61" spans="2:13" s="9" customFormat="1" ht="16.95" customHeight="1" x14ac:dyDescent="0.35">
      <c r="B61" s="229" t="s">
        <v>123</v>
      </c>
      <c r="C61" s="230">
        <v>3</v>
      </c>
      <c r="D61" s="231">
        <v>50</v>
      </c>
      <c r="E61" s="250">
        <f>$D$61</f>
        <v>50</v>
      </c>
      <c r="F61" s="257">
        <v>52.5</v>
      </c>
      <c r="G61" s="58">
        <v>50</v>
      </c>
      <c r="H61" s="263">
        <v>52.5</v>
      </c>
      <c r="J61" s="265"/>
      <c r="K61" s="266"/>
      <c r="L61" s="32"/>
      <c r="M61" s="267"/>
    </row>
    <row r="62" spans="2:13" s="66" customFormat="1" ht="16.95" customHeight="1" thickBot="1" x14ac:dyDescent="0.35">
      <c r="B62" s="226" t="s">
        <v>136</v>
      </c>
      <c r="C62" s="227">
        <f>SUM(C57:C61)</f>
        <v>23</v>
      </c>
      <c r="D62" s="224">
        <f>SUM(($C57*D57)+($C58*D58)+($C59*D59)+($C60*D60)+(C61*D61))*52</f>
        <v>137280</v>
      </c>
      <c r="E62" s="251">
        <f>SUM(($C57*E57)+($C58*E58)+($C59*E59)+($C60*E60)+($C61*E61))*52</f>
        <v>137280</v>
      </c>
      <c r="F62" s="247">
        <f>SUM(($C57*F57)+($C58*F58)+($C59*F59)+($C60*F60)+($C61*F61))*52</f>
        <v>144586</v>
      </c>
      <c r="G62" s="224">
        <f>SUM(($C57*G57)+($C58*G58)+($C59*G59)+($C60*G60)+($C61*G61))*52</f>
        <v>85280</v>
      </c>
      <c r="H62" s="247">
        <f>SUM(($C57*H57)+($C58*H58)+($C59*H59)+($C60*H60)+(C61*H61))*52</f>
        <v>89440</v>
      </c>
      <c r="K62" s="268"/>
      <c r="L62" s="269">
        <v>2020</v>
      </c>
      <c r="M62" s="270">
        <v>2021</v>
      </c>
    </row>
    <row r="63" spans="2:13" ht="10.199999999999999" customHeight="1" x14ac:dyDescent="0.3">
      <c r="E63" s="252"/>
      <c r="H63" s="238"/>
      <c r="K63" s="271" t="s">
        <v>142</v>
      </c>
      <c r="L63" s="272">
        <v>9.7799999999999998E-2</v>
      </c>
      <c r="M63" s="273">
        <v>9.8299999999999998E-2</v>
      </c>
    </row>
    <row r="64" spans="2:13" ht="16.95" customHeight="1" thickBot="1" x14ac:dyDescent="0.4">
      <c r="B64" s="223" t="s">
        <v>98</v>
      </c>
      <c r="C64" s="52"/>
      <c r="D64" s="52"/>
      <c r="E64" s="253"/>
      <c r="F64" s="52"/>
      <c r="G64" s="52"/>
      <c r="H64" s="239"/>
      <c r="K64" s="271" t="s">
        <v>143</v>
      </c>
      <c r="L64" s="274">
        <f>50*52</f>
        <v>2600</v>
      </c>
      <c r="M64" s="275">
        <f>I57</f>
        <v>2730</v>
      </c>
    </row>
    <row r="65" spans="2:13" s="9" customFormat="1" ht="16.95" customHeight="1" x14ac:dyDescent="0.35">
      <c r="B65" s="10" t="s">
        <v>21</v>
      </c>
      <c r="C65" s="21"/>
      <c r="D65" s="59">
        <f>SUM((D13-D42)+(D57*52))</f>
        <v>4680</v>
      </c>
      <c r="E65" s="248">
        <f>SUM((E13-E42)+(E57*52))</f>
        <v>4680</v>
      </c>
      <c r="F65" s="258">
        <f>SUM((F13-F42)+(F57*52))</f>
        <v>4940</v>
      </c>
      <c r="G65" s="59">
        <f>SUM((G13-G42)+(G61*52))</f>
        <v>5600</v>
      </c>
      <c r="H65" s="258">
        <f>SUM((H13-H42)+(H61*52))</f>
        <v>5730</v>
      </c>
      <c r="K65" s="276" t="s">
        <v>144</v>
      </c>
      <c r="L65" s="277">
        <f>L64/L63</f>
        <v>26584.867075664621</v>
      </c>
      <c r="M65" s="278">
        <f>M64/M63</f>
        <v>27772.126144455749</v>
      </c>
    </row>
    <row r="66" spans="2:13" s="9" customFormat="1" ht="16.95" customHeight="1" x14ac:dyDescent="0.35">
      <c r="B66" s="11" t="s">
        <v>22</v>
      </c>
      <c r="C66" s="18"/>
      <c r="D66" s="57">
        <f>SUM((D15-D43)+(D58*52))</f>
        <v>10400</v>
      </c>
      <c r="E66" s="249">
        <f>SUM((E15-E43)+(E58*52))</f>
        <v>10400</v>
      </c>
      <c r="F66" s="259">
        <f>SUM((F15-F43)+(F58*52))</f>
        <v>10920</v>
      </c>
      <c r="G66" s="236">
        <f>SUM((G15-G43)+(G58*52))</f>
        <v>12240</v>
      </c>
      <c r="H66" s="259">
        <f>SUM((H15-H43)+(H58*52))</f>
        <v>12500</v>
      </c>
    </row>
    <row r="67" spans="2:13" s="9" customFormat="1" ht="16.95" customHeight="1" x14ac:dyDescent="0.35">
      <c r="B67" s="11" t="s">
        <v>23</v>
      </c>
      <c r="C67" s="18"/>
      <c r="D67" s="57">
        <f>SUM((D15-D43)+(D59*52))</f>
        <v>10400</v>
      </c>
      <c r="E67" s="249">
        <f>SUM((E15-E43)+(E59*52))</f>
        <v>10400</v>
      </c>
      <c r="F67" s="259">
        <f>SUM((F15-F43)+(F59*52))</f>
        <v>10920</v>
      </c>
      <c r="G67" s="236">
        <f>SUM((G15-G43)+(G59*52))</f>
        <v>12240</v>
      </c>
      <c r="H67" s="259">
        <f>SUM((H15-H43)+(H59*52))</f>
        <v>12500</v>
      </c>
    </row>
    <row r="68" spans="2:13" s="9" customFormat="1" ht="16.95" customHeight="1" x14ac:dyDescent="0.35">
      <c r="B68" s="11" t="s">
        <v>24</v>
      </c>
      <c r="C68" s="18"/>
      <c r="D68" s="57">
        <f>SUM((D15-D43)+(D60*52))</f>
        <v>14040</v>
      </c>
      <c r="E68" s="249">
        <f>SUM((E15-E43)+(E60*52))</f>
        <v>14040</v>
      </c>
      <c r="F68" s="259">
        <f>SUM((F15-F43)+(F60*52))</f>
        <v>14768</v>
      </c>
      <c r="G68" s="236">
        <f>SUM((G15-G43)+(G60*52))</f>
        <v>15880</v>
      </c>
      <c r="H68" s="259">
        <f>SUM((H15-H43)+(H60*52))</f>
        <v>16400</v>
      </c>
    </row>
    <row r="69" spans="2:13" ht="16.8" customHeight="1" thickBot="1" x14ac:dyDescent="0.4">
      <c r="B69" s="241" t="s">
        <v>123</v>
      </c>
      <c r="C69" s="240"/>
      <c r="D69" s="60">
        <f>SUM((D13)+(D61*52))</f>
        <v>5300</v>
      </c>
      <c r="E69" s="254">
        <f>SUM((E13)+(E61*52))</f>
        <v>5600</v>
      </c>
      <c r="F69" s="260">
        <f>SUM((F13)+(F61*52))</f>
        <v>5730</v>
      </c>
      <c r="G69" s="242" t="s">
        <v>138</v>
      </c>
      <c r="H69" s="264" t="s">
        <v>138</v>
      </c>
    </row>
  </sheetData>
  <mergeCells count="9">
    <mergeCell ref="K60:M60"/>
    <mergeCell ref="K58:M58"/>
    <mergeCell ref="K59:M59"/>
    <mergeCell ref="B39:D39"/>
    <mergeCell ref="H2:H4"/>
    <mergeCell ref="F2:F4"/>
    <mergeCell ref="G2:G4"/>
    <mergeCell ref="B17:C17"/>
    <mergeCell ref="E3:E4"/>
  </mergeCells>
  <printOptions horizontalCentered="1" verticalCentered="1"/>
  <pageMargins left="0.2" right="0.2" top="0.35" bottom="0.35" header="0.3" footer="0.3"/>
  <pageSetup scale="8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AE855D-434F-43BB-96AA-C03D3311F62F}">
  <sheetPr>
    <pageSetUpPr fitToPage="1"/>
  </sheetPr>
  <dimension ref="B1:O37"/>
  <sheetViews>
    <sheetView showGridLines="0" zoomScale="80" zoomScaleNormal="80" workbookViewId="0">
      <selection activeCell="Q25" sqref="Q25"/>
    </sheetView>
  </sheetViews>
  <sheetFormatPr defaultRowHeight="14.4" x14ac:dyDescent="0.3"/>
  <cols>
    <col min="1" max="1" width="5.21875" customWidth="1"/>
    <col min="2" max="2" width="8.33203125" customWidth="1"/>
    <col min="3" max="3" width="17.88671875" style="82" customWidth="1"/>
    <col min="4" max="4" width="18.6640625" style="82" customWidth="1"/>
    <col min="5" max="5" width="7.88671875" style="82" customWidth="1"/>
    <col min="6" max="6" width="11.5546875" style="82" customWidth="1"/>
    <col min="7" max="7" width="7.88671875" style="82" customWidth="1"/>
    <col min="8" max="8" width="12.6640625" style="82" customWidth="1"/>
    <col min="9" max="9" width="8" style="82" customWidth="1"/>
    <col min="10" max="10" width="12.5546875" style="82" customWidth="1"/>
    <col min="11" max="11" width="10.6640625" style="82" customWidth="1"/>
    <col min="12" max="12" width="12.6640625" style="82" customWidth="1"/>
    <col min="13" max="13" width="8.6640625" style="82" customWidth="1"/>
    <col min="14" max="14" width="11.44140625" style="82" customWidth="1"/>
    <col min="15" max="15" width="9.44140625" style="82" customWidth="1"/>
    <col min="260" max="260" width="13.44140625" customWidth="1"/>
    <col min="261" max="262" width="21.33203125" customWidth="1"/>
    <col min="263" max="263" width="10.6640625" customWidth="1"/>
    <col min="264" max="264" width="19.88671875" customWidth="1"/>
    <col min="265" max="265" width="10.88671875" customWidth="1"/>
    <col min="266" max="267" width="20.88671875" customWidth="1"/>
    <col min="268" max="268" width="9.109375" customWidth="1"/>
    <col min="516" max="516" width="13.44140625" customWidth="1"/>
    <col min="517" max="518" width="21.33203125" customWidth="1"/>
    <col min="519" max="519" width="10.6640625" customWidth="1"/>
    <col min="520" max="520" width="19.88671875" customWidth="1"/>
    <col min="521" max="521" width="10.88671875" customWidth="1"/>
    <col min="522" max="523" width="20.88671875" customWidth="1"/>
    <col min="524" max="524" width="9.109375" customWidth="1"/>
    <col min="772" max="772" width="13.44140625" customWidth="1"/>
    <col min="773" max="774" width="21.33203125" customWidth="1"/>
    <col min="775" max="775" width="10.6640625" customWidth="1"/>
    <col min="776" max="776" width="19.88671875" customWidth="1"/>
    <col min="777" max="777" width="10.88671875" customWidth="1"/>
    <col min="778" max="779" width="20.88671875" customWidth="1"/>
    <col min="780" max="780" width="9.109375" customWidth="1"/>
    <col min="1028" max="1028" width="13.44140625" customWidth="1"/>
    <col min="1029" max="1030" width="21.33203125" customWidth="1"/>
    <col min="1031" max="1031" width="10.6640625" customWidth="1"/>
    <col min="1032" max="1032" width="19.88671875" customWidth="1"/>
    <col min="1033" max="1033" width="10.88671875" customWidth="1"/>
    <col min="1034" max="1035" width="20.88671875" customWidth="1"/>
    <col min="1036" max="1036" width="9.109375" customWidth="1"/>
    <col min="1284" max="1284" width="13.44140625" customWidth="1"/>
    <col min="1285" max="1286" width="21.33203125" customWidth="1"/>
    <col min="1287" max="1287" width="10.6640625" customWidth="1"/>
    <col min="1288" max="1288" width="19.88671875" customWidth="1"/>
    <col min="1289" max="1289" width="10.88671875" customWidth="1"/>
    <col min="1290" max="1291" width="20.88671875" customWidth="1"/>
    <col min="1292" max="1292" width="9.109375" customWidth="1"/>
    <col min="1540" max="1540" width="13.44140625" customWidth="1"/>
    <col min="1541" max="1542" width="21.33203125" customWidth="1"/>
    <col min="1543" max="1543" width="10.6640625" customWidth="1"/>
    <col min="1544" max="1544" width="19.88671875" customWidth="1"/>
    <col min="1545" max="1545" width="10.88671875" customWidth="1"/>
    <col min="1546" max="1547" width="20.88671875" customWidth="1"/>
    <col min="1548" max="1548" width="9.109375" customWidth="1"/>
    <col min="1796" max="1796" width="13.44140625" customWidth="1"/>
    <col min="1797" max="1798" width="21.33203125" customWidth="1"/>
    <col min="1799" max="1799" width="10.6640625" customWidth="1"/>
    <col min="1800" max="1800" width="19.88671875" customWidth="1"/>
    <col min="1801" max="1801" width="10.88671875" customWidth="1"/>
    <col min="1802" max="1803" width="20.88671875" customWidth="1"/>
    <col min="1804" max="1804" width="9.109375" customWidth="1"/>
    <col min="2052" max="2052" width="13.44140625" customWidth="1"/>
    <col min="2053" max="2054" width="21.33203125" customWidth="1"/>
    <col min="2055" max="2055" width="10.6640625" customWidth="1"/>
    <col min="2056" max="2056" width="19.88671875" customWidth="1"/>
    <col min="2057" max="2057" width="10.88671875" customWidth="1"/>
    <col min="2058" max="2059" width="20.88671875" customWidth="1"/>
    <col min="2060" max="2060" width="9.109375" customWidth="1"/>
    <col min="2308" max="2308" width="13.44140625" customWidth="1"/>
    <col min="2309" max="2310" width="21.33203125" customWidth="1"/>
    <col min="2311" max="2311" width="10.6640625" customWidth="1"/>
    <col min="2312" max="2312" width="19.88671875" customWidth="1"/>
    <col min="2313" max="2313" width="10.88671875" customWidth="1"/>
    <col min="2314" max="2315" width="20.88671875" customWidth="1"/>
    <col min="2316" max="2316" width="9.109375" customWidth="1"/>
    <col min="2564" max="2564" width="13.44140625" customWidth="1"/>
    <col min="2565" max="2566" width="21.33203125" customWidth="1"/>
    <col min="2567" max="2567" width="10.6640625" customWidth="1"/>
    <col min="2568" max="2568" width="19.88671875" customWidth="1"/>
    <col min="2569" max="2569" width="10.88671875" customWidth="1"/>
    <col min="2570" max="2571" width="20.88671875" customWidth="1"/>
    <col min="2572" max="2572" width="9.109375" customWidth="1"/>
    <col min="2820" max="2820" width="13.44140625" customWidth="1"/>
    <col min="2821" max="2822" width="21.33203125" customWidth="1"/>
    <col min="2823" max="2823" width="10.6640625" customWidth="1"/>
    <col min="2824" max="2824" width="19.88671875" customWidth="1"/>
    <col min="2825" max="2825" width="10.88671875" customWidth="1"/>
    <col min="2826" max="2827" width="20.88671875" customWidth="1"/>
    <col min="2828" max="2828" width="9.109375" customWidth="1"/>
    <col min="3076" max="3076" width="13.44140625" customWidth="1"/>
    <col min="3077" max="3078" width="21.33203125" customWidth="1"/>
    <col min="3079" max="3079" width="10.6640625" customWidth="1"/>
    <col min="3080" max="3080" width="19.88671875" customWidth="1"/>
    <col min="3081" max="3081" width="10.88671875" customWidth="1"/>
    <col min="3082" max="3083" width="20.88671875" customWidth="1"/>
    <col min="3084" max="3084" width="9.109375" customWidth="1"/>
    <col min="3332" max="3332" width="13.44140625" customWidth="1"/>
    <col min="3333" max="3334" width="21.33203125" customWidth="1"/>
    <col min="3335" max="3335" width="10.6640625" customWidth="1"/>
    <col min="3336" max="3336" width="19.88671875" customWidth="1"/>
    <col min="3337" max="3337" width="10.88671875" customWidth="1"/>
    <col min="3338" max="3339" width="20.88671875" customWidth="1"/>
    <col min="3340" max="3340" width="9.109375" customWidth="1"/>
    <col min="3588" max="3588" width="13.44140625" customWidth="1"/>
    <col min="3589" max="3590" width="21.33203125" customWidth="1"/>
    <col min="3591" max="3591" width="10.6640625" customWidth="1"/>
    <col min="3592" max="3592" width="19.88671875" customWidth="1"/>
    <col min="3593" max="3593" width="10.88671875" customWidth="1"/>
    <col min="3594" max="3595" width="20.88671875" customWidth="1"/>
    <col min="3596" max="3596" width="9.109375" customWidth="1"/>
    <col min="3844" max="3844" width="13.44140625" customWidth="1"/>
    <col min="3845" max="3846" width="21.33203125" customWidth="1"/>
    <col min="3847" max="3847" width="10.6640625" customWidth="1"/>
    <col min="3848" max="3848" width="19.88671875" customWidth="1"/>
    <col min="3849" max="3849" width="10.88671875" customWidth="1"/>
    <col min="3850" max="3851" width="20.88671875" customWidth="1"/>
    <col min="3852" max="3852" width="9.109375" customWidth="1"/>
    <col min="4100" max="4100" width="13.44140625" customWidth="1"/>
    <col min="4101" max="4102" width="21.33203125" customWidth="1"/>
    <col min="4103" max="4103" width="10.6640625" customWidth="1"/>
    <col min="4104" max="4104" width="19.88671875" customWidth="1"/>
    <col min="4105" max="4105" width="10.88671875" customWidth="1"/>
    <col min="4106" max="4107" width="20.88671875" customWidth="1"/>
    <col min="4108" max="4108" width="9.109375" customWidth="1"/>
    <col min="4356" max="4356" width="13.44140625" customWidth="1"/>
    <col min="4357" max="4358" width="21.33203125" customWidth="1"/>
    <col min="4359" max="4359" width="10.6640625" customWidth="1"/>
    <col min="4360" max="4360" width="19.88671875" customWidth="1"/>
    <col min="4361" max="4361" width="10.88671875" customWidth="1"/>
    <col min="4362" max="4363" width="20.88671875" customWidth="1"/>
    <col min="4364" max="4364" width="9.109375" customWidth="1"/>
    <col min="4612" max="4612" width="13.44140625" customWidth="1"/>
    <col min="4613" max="4614" width="21.33203125" customWidth="1"/>
    <col min="4615" max="4615" width="10.6640625" customWidth="1"/>
    <col min="4616" max="4616" width="19.88671875" customWidth="1"/>
    <col min="4617" max="4617" width="10.88671875" customWidth="1"/>
    <col min="4618" max="4619" width="20.88671875" customWidth="1"/>
    <col min="4620" max="4620" width="9.109375" customWidth="1"/>
    <col min="4868" max="4868" width="13.44140625" customWidth="1"/>
    <col min="4869" max="4870" width="21.33203125" customWidth="1"/>
    <col min="4871" max="4871" width="10.6640625" customWidth="1"/>
    <col min="4872" max="4872" width="19.88671875" customWidth="1"/>
    <col min="4873" max="4873" width="10.88671875" customWidth="1"/>
    <col min="4874" max="4875" width="20.88671875" customWidth="1"/>
    <col min="4876" max="4876" width="9.109375" customWidth="1"/>
    <col min="5124" max="5124" width="13.44140625" customWidth="1"/>
    <col min="5125" max="5126" width="21.33203125" customWidth="1"/>
    <col min="5127" max="5127" width="10.6640625" customWidth="1"/>
    <col min="5128" max="5128" width="19.88671875" customWidth="1"/>
    <col min="5129" max="5129" width="10.88671875" customWidth="1"/>
    <col min="5130" max="5131" width="20.88671875" customWidth="1"/>
    <col min="5132" max="5132" width="9.109375" customWidth="1"/>
    <col min="5380" max="5380" width="13.44140625" customWidth="1"/>
    <col min="5381" max="5382" width="21.33203125" customWidth="1"/>
    <col min="5383" max="5383" width="10.6640625" customWidth="1"/>
    <col min="5384" max="5384" width="19.88671875" customWidth="1"/>
    <col min="5385" max="5385" width="10.88671875" customWidth="1"/>
    <col min="5386" max="5387" width="20.88671875" customWidth="1"/>
    <col min="5388" max="5388" width="9.109375" customWidth="1"/>
    <col min="5636" max="5636" width="13.44140625" customWidth="1"/>
    <col min="5637" max="5638" width="21.33203125" customWidth="1"/>
    <col min="5639" max="5639" width="10.6640625" customWidth="1"/>
    <col min="5640" max="5640" width="19.88671875" customWidth="1"/>
    <col min="5641" max="5641" width="10.88671875" customWidth="1"/>
    <col min="5642" max="5643" width="20.88671875" customWidth="1"/>
    <col min="5644" max="5644" width="9.109375" customWidth="1"/>
    <col min="5892" max="5892" width="13.44140625" customWidth="1"/>
    <col min="5893" max="5894" width="21.33203125" customWidth="1"/>
    <col min="5895" max="5895" width="10.6640625" customWidth="1"/>
    <col min="5896" max="5896" width="19.88671875" customWidth="1"/>
    <col min="5897" max="5897" width="10.88671875" customWidth="1"/>
    <col min="5898" max="5899" width="20.88671875" customWidth="1"/>
    <col min="5900" max="5900" width="9.109375" customWidth="1"/>
    <col min="6148" max="6148" width="13.44140625" customWidth="1"/>
    <col min="6149" max="6150" width="21.33203125" customWidth="1"/>
    <col min="6151" max="6151" width="10.6640625" customWidth="1"/>
    <col min="6152" max="6152" width="19.88671875" customWidth="1"/>
    <col min="6153" max="6153" width="10.88671875" customWidth="1"/>
    <col min="6154" max="6155" width="20.88671875" customWidth="1"/>
    <col min="6156" max="6156" width="9.109375" customWidth="1"/>
    <col min="6404" max="6404" width="13.44140625" customWidth="1"/>
    <col min="6405" max="6406" width="21.33203125" customWidth="1"/>
    <col min="6407" max="6407" width="10.6640625" customWidth="1"/>
    <col min="6408" max="6408" width="19.88671875" customWidth="1"/>
    <col min="6409" max="6409" width="10.88671875" customWidth="1"/>
    <col min="6410" max="6411" width="20.88671875" customWidth="1"/>
    <col min="6412" max="6412" width="9.109375" customWidth="1"/>
    <col min="6660" max="6660" width="13.44140625" customWidth="1"/>
    <col min="6661" max="6662" width="21.33203125" customWidth="1"/>
    <col min="6663" max="6663" width="10.6640625" customWidth="1"/>
    <col min="6664" max="6664" width="19.88671875" customWidth="1"/>
    <col min="6665" max="6665" width="10.88671875" customWidth="1"/>
    <col min="6666" max="6667" width="20.88671875" customWidth="1"/>
    <col min="6668" max="6668" width="9.109375" customWidth="1"/>
    <col min="6916" max="6916" width="13.44140625" customWidth="1"/>
    <col min="6917" max="6918" width="21.33203125" customWidth="1"/>
    <col min="6919" max="6919" width="10.6640625" customWidth="1"/>
    <col min="6920" max="6920" width="19.88671875" customWidth="1"/>
    <col min="6921" max="6921" width="10.88671875" customWidth="1"/>
    <col min="6922" max="6923" width="20.88671875" customWidth="1"/>
    <col min="6924" max="6924" width="9.109375" customWidth="1"/>
    <col min="7172" max="7172" width="13.44140625" customWidth="1"/>
    <col min="7173" max="7174" width="21.33203125" customWidth="1"/>
    <col min="7175" max="7175" width="10.6640625" customWidth="1"/>
    <col min="7176" max="7176" width="19.88671875" customWidth="1"/>
    <col min="7177" max="7177" width="10.88671875" customWidth="1"/>
    <col min="7178" max="7179" width="20.88671875" customWidth="1"/>
    <col min="7180" max="7180" width="9.109375" customWidth="1"/>
    <col min="7428" max="7428" width="13.44140625" customWidth="1"/>
    <col min="7429" max="7430" width="21.33203125" customWidth="1"/>
    <col min="7431" max="7431" width="10.6640625" customWidth="1"/>
    <col min="7432" max="7432" width="19.88671875" customWidth="1"/>
    <col min="7433" max="7433" width="10.88671875" customWidth="1"/>
    <col min="7434" max="7435" width="20.88671875" customWidth="1"/>
    <col min="7436" max="7436" width="9.109375" customWidth="1"/>
    <col min="7684" max="7684" width="13.44140625" customWidth="1"/>
    <col min="7685" max="7686" width="21.33203125" customWidth="1"/>
    <col min="7687" max="7687" width="10.6640625" customWidth="1"/>
    <col min="7688" max="7688" width="19.88671875" customWidth="1"/>
    <col min="7689" max="7689" width="10.88671875" customWidth="1"/>
    <col min="7690" max="7691" width="20.88671875" customWidth="1"/>
    <col min="7692" max="7692" width="9.109375" customWidth="1"/>
    <col min="7940" max="7940" width="13.44140625" customWidth="1"/>
    <col min="7941" max="7942" width="21.33203125" customWidth="1"/>
    <col min="7943" max="7943" width="10.6640625" customWidth="1"/>
    <col min="7944" max="7944" width="19.88671875" customWidth="1"/>
    <col min="7945" max="7945" width="10.88671875" customWidth="1"/>
    <col min="7946" max="7947" width="20.88671875" customWidth="1"/>
    <col min="7948" max="7948" width="9.109375" customWidth="1"/>
    <col min="8196" max="8196" width="13.44140625" customWidth="1"/>
    <col min="8197" max="8198" width="21.33203125" customWidth="1"/>
    <col min="8199" max="8199" width="10.6640625" customWidth="1"/>
    <col min="8200" max="8200" width="19.88671875" customWidth="1"/>
    <col min="8201" max="8201" width="10.88671875" customWidth="1"/>
    <col min="8202" max="8203" width="20.88671875" customWidth="1"/>
    <col min="8204" max="8204" width="9.109375" customWidth="1"/>
    <col min="8452" max="8452" width="13.44140625" customWidth="1"/>
    <col min="8453" max="8454" width="21.33203125" customWidth="1"/>
    <col min="8455" max="8455" width="10.6640625" customWidth="1"/>
    <col min="8456" max="8456" width="19.88671875" customWidth="1"/>
    <col min="8457" max="8457" width="10.88671875" customWidth="1"/>
    <col min="8458" max="8459" width="20.88671875" customWidth="1"/>
    <col min="8460" max="8460" width="9.109375" customWidth="1"/>
    <col min="8708" max="8708" width="13.44140625" customWidth="1"/>
    <col min="8709" max="8710" width="21.33203125" customWidth="1"/>
    <col min="8711" max="8711" width="10.6640625" customWidth="1"/>
    <col min="8712" max="8712" width="19.88671875" customWidth="1"/>
    <col min="8713" max="8713" width="10.88671875" customWidth="1"/>
    <col min="8714" max="8715" width="20.88671875" customWidth="1"/>
    <col min="8716" max="8716" width="9.109375" customWidth="1"/>
    <col min="8964" max="8964" width="13.44140625" customWidth="1"/>
    <col min="8965" max="8966" width="21.33203125" customWidth="1"/>
    <col min="8967" max="8967" width="10.6640625" customWidth="1"/>
    <col min="8968" max="8968" width="19.88671875" customWidth="1"/>
    <col min="8969" max="8969" width="10.88671875" customWidth="1"/>
    <col min="8970" max="8971" width="20.88671875" customWidth="1"/>
    <col min="8972" max="8972" width="9.109375" customWidth="1"/>
    <col min="9220" max="9220" width="13.44140625" customWidth="1"/>
    <col min="9221" max="9222" width="21.33203125" customWidth="1"/>
    <col min="9223" max="9223" width="10.6640625" customWidth="1"/>
    <col min="9224" max="9224" width="19.88671875" customWidth="1"/>
    <col min="9225" max="9225" width="10.88671875" customWidth="1"/>
    <col min="9226" max="9227" width="20.88671875" customWidth="1"/>
    <col min="9228" max="9228" width="9.109375" customWidth="1"/>
    <col min="9476" max="9476" width="13.44140625" customWidth="1"/>
    <col min="9477" max="9478" width="21.33203125" customWidth="1"/>
    <col min="9479" max="9479" width="10.6640625" customWidth="1"/>
    <col min="9480" max="9480" width="19.88671875" customWidth="1"/>
    <col min="9481" max="9481" width="10.88671875" customWidth="1"/>
    <col min="9482" max="9483" width="20.88671875" customWidth="1"/>
    <col min="9484" max="9484" width="9.109375" customWidth="1"/>
    <col min="9732" max="9732" width="13.44140625" customWidth="1"/>
    <col min="9733" max="9734" width="21.33203125" customWidth="1"/>
    <col min="9735" max="9735" width="10.6640625" customWidth="1"/>
    <col min="9736" max="9736" width="19.88671875" customWidth="1"/>
    <col min="9737" max="9737" width="10.88671875" customWidth="1"/>
    <col min="9738" max="9739" width="20.88671875" customWidth="1"/>
    <col min="9740" max="9740" width="9.109375" customWidth="1"/>
    <col min="9988" max="9988" width="13.44140625" customWidth="1"/>
    <col min="9989" max="9990" width="21.33203125" customWidth="1"/>
    <col min="9991" max="9991" width="10.6640625" customWidth="1"/>
    <col min="9992" max="9992" width="19.88671875" customWidth="1"/>
    <col min="9993" max="9993" width="10.88671875" customWidth="1"/>
    <col min="9994" max="9995" width="20.88671875" customWidth="1"/>
    <col min="9996" max="9996" width="9.109375" customWidth="1"/>
    <col min="10244" max="10244" width="13.44140625" customWidth="1"/>
    <col min="10245" max="10246" width="21.33203125" customWidth="1"/>
    <col min="10247" max="10247" width="10.6640625" customWidth="1"/>
    <col min="10248" max="10248" width="19.88671875" customWidth="1"/>
    <col min="10249" max="10249" width="10.88671875" customWidth="1"/>
    <col min="10250" max="10251" width="20.88671875" customWidth="1"/>
    <col min="10252" max="10252" width="9.109375" customWidth="1"/>
    <col min="10500" max="10500" width="13.44140625" customWidth="1"/>
    <col min="10501" max="10502" width="21.33203125" customWidth="1"/>
    <col min="10503" max="10503" width="10.6640625" customWidth="1"/>
    <col min="10504" max="10504" width="19.88671875" customWidth="1"/>
    <col min="10505" max="10505" width="10.88671875" customWidth="1"/>
    <col min="10506" max="10507" width="20.88671875" customWidth="1"/>
    <col min="10508" max="10508" width="9.109375" customWidth="1"/>
    <col min="10756" max="10756" width="13.44140625" customWidth="1"/>
    <col min="10757" max="10758" width="21.33203125" customWidth="1"/>
    <col min="10759" max="10759" width="10.6640625" customWidth="1"/>
    <col min="10760" max="10760" width="19.88671875" customWidth="1"/>
    <col min="10761" max="10761" width="10.88671875" customWidth="1"/>
    <col min="10762" max="10763" width="20.88671875" customWidth="1"/>
    <col min="10764" max="10764" width="9.109375" customWidth="1"/>
    <col min="11012" max="11012" width="13.44140625" customWidth="1"/>
    <col min="11013" max="11014" width="21.33203125" customWidth="1"/>
    <col min="11015" max="11015" width="10.6640625" customWidth="1"/>
    <col min="11016" max="11016" width="19.88671875" customWidth="1"/>
    <col min="11017" max="11017" width="10.88671875" customWidth="1"/>
    <col min="11018" max="11019" width="20.88671875" customWidth="1"/>
    <col min="11020" max="11020" width="9.109375" customWidth="1"/>
    <col min="11268" max="11268" width="13.44140625" customWidth="1"/>
    <col min="11269" max="11270" width="21.33203125" customWidth="1"/>
    <col min="11271" max="11271" width="10.6640625" customWidth="1"/>
    <col min="11272" max="11272" width="19.88671875" customWidth="1"/>
    <col min="11273" max="11273" width="10.88671875" customWidth="1"/>
    <col min="11274" max="11275" width="20.88671875" customWidth="1"/>
    <col min="11276" max="11276" width="9.109375" customWidth="1"/>
    <col min="11524" max="11524" width="13.44140625" customWidth="1"/>
    <col min="11525" max="11526" width="21.33203125" customWidth="1"/>
    <col min="11527" max="11527" width="10.6640625" customWidth="1"/>
    <col min="11528" max="11528" width="19.88671875" customWidth="1"/>
    <col min="11529" max="11529" width="10.88671875" customWidth="1"/>
    <col min="11530" max="11531" width="20.88671875" customWidth="1"/>
    <col min="11532" max="11532" width="9.109375" customWidth="1"/>
    <col min="11780" max="11780" width="13.44140625" customWidth="1"/>
    <col min="11781" max="11782" width="21.33203125" customWidth="1"/>
    <col min="11783" max="11783" width="10.6640625" customWidth="1"/>
    <col min="11784" max="11784" width="19.88671875" customWidth="1"/>
    <col min="11785" max="11785" width="10.88671875" customWidth="1"/>
    <col min="11786" max="11787" width="20.88671875" customWidth="1"/>
    <col min="11788" max="11788" width="9.109375" customWidth="1"/>
    <col min="12036" max="12036" width="13.44140625" customWidth="1"/>
    <col min="12037" max="12038" width="21.33203125" customWidth="1"/>
    <col min="12039" max="12039" width="10.6640625" customWidth="1"/>
    <col min="12040" max="12040" width="19.88671875" customWidth="1"/>
    <col min="12041" max="12041" width="10.88671875" customWidth="1"/>
    <col min="12042" max="12043" width="20.88671875" customWidth="1"/>
    <col min="12044" max="12044" width="9.109375" customWidth="1"/>
    <col min="12292" max="12292" width="13.44140625" customWidth="1"/>
    <col min="12293" max="12294" width="21.33203125" customWidth="1"/>
    <col min="12295" max="12295" width="10.6640625" customWidth="1"/>
    <col min="12296" max="12296" width="19.88671875" customWidth="1"/>
    <col min="12297" max="12297" width="10.88671875" customWidth="1"/>
    <col min="12298" max="12299" width="20.88671875" customWidth="1"/>
    <col min="12300" max="12300" width="9.109375" customWidth="1"/>
    <col min="12548" max="12548" width="13.44140625" customWidth="1"/>
    <col min="12549" max="12550" width="21.33203125" customWidth="1"/>
    <col min="12551" max="12551" width="10.6640625" customWidth="1"/>
    <col min="12552" max="12552" width="19.88671875" customWidth="1"/>
    <col min="12553" max="12553" width="10.88671875" customWidth="1"/>
    <col min="12554" max="12555" width="20.88671875" customWidth="1"/>
    <col min="12556" max="12556" width="9.109375" customWidth="1"/>
    <col min="12804" max="12804" width="13.44140625" customWidth="1"/>
    <col min="12805" max="12806" width="21.33203125" customWidth="1"/>
    <col min="12807" max="12807" width="10.6640625" customWidth="1"/>
    <col min="12808" max="12808" width="19.88671875" customWidth="1"/>
    <col min="12809" max="12809" width="10.88671875" customWidth="1"/>
    <col min="12810" max="12811" width="20.88671875" customWidth="1"/>
    <col min="12812" max="12812" width="9.109375" customWidth="1"/>
    <col min="13060" max="13060" width="13.44140625" customWidth="1"/>
    <col min="13061" max="13062" width="21.33203125" customWidth="1"/>
    <col min="13063" max="13063" width="10.6640625" customWidth="1"/>
    <col min="13064" max="13064" width="19.88671875" customWidth="1"/>
    <col min="13065" max="13065" width="10.88671875" customWidth="1"/>
    <col min="13066" max="13067" width="20.88671875" customWidth="1"/>
    <col min="13068" max="13068" width="9.109375" customWidth="1"/>
    <col min="13316" max="13316" width="13.44140625" customWidth="1"/>
    <col min="13317" max="13318" width="21.33203125" customWidth="1"/>
    <col min="13319" max="13319" width="10.6640625" customWidth="1"/>
    <col min="13320" max="13320" width="19.88671875" customWidth="1"/>
    <col min="13321" max="13321" width="10.88671875" customWidth="1"/>
    <col min="13322" max="13323" width="20.88671875" customWidth="1"/>
    <col min="13324" max="13324" width="9.109375" customWidth="1"/>
    <col min="13572" max="13572" width="13.44140625" customWidth="1"/>
    <col min="13573" max="13574" width="21.33203125" customWidth="1"/>
    <col min="13575" max="13575" width="10.6640625" customWidth="1"/>
    <col min="13576" max="13576" width="19.88671875" customWidth="1"/>
    <col min="13577" max="13577" width="10.88671875" customWidth="1"/>
    <col min="13578" max="13579" width="20.88671875" customWidth="1"/>
    <col min="13580" max="13580" width="9.109375" customWidth="1"/>
    <col min="13828" max="13828" width="13.44140625" customWidth="1"/>
    <col min="13829" max="13830" width="21.33203125" customWidth="1"/>
    <col min="13831" max="13831" width="10.6640625" customWidth="1"/>
    <col min="13832" max="13832" width="19.88671875" customWidth="1"/>
    <col min="13833" max="13833" width="10.88671875" customWidth="1"/>
    <col min="13834" max="13835" width="20.88671875" customWidth="1"/>
    <col min="13836" max="13836" width="9.109375" customWidth="1"/>
    <col min="14084" max="14084" width="13.44140625" customWidth="1"/>
    <col min="14085" max="14086" width="21.33203125" customWidth="1"/>
    <col min="14087" max="14087" width="10.6640625" customWidth="1"/>
    <col min="14088" max="14088" width="19.88671875" customWidth="1"/>
    <col min="14089" max="14089" width="10.88671875" customWidth="1"/>
    <col min="14090" max="14091" width="20.88671875" customWidth="1"/>
    <col min="14092" max="14092" width="9.109375" customWidth="1"/>
    <col min="14340" max="14340" width="13.44140625" customWidth="1"/>
    <col min="14341" max="14342" width="21.33203125" customWidth="1"/>
    <col min="14343" max="14343" width="10.6640625" customWidth="1"/>
    <col min="14344" max="14344" width="19.88671875" customWidth="1"/>
    <col min="14345" max="14345" width="10.88671875" customWidth="1"/>
    <col min="14346" max="14347" width="20.88671875" customWidth="1"/>
    <col min="14348" max="14348" width="9.109375" customWidth="1"/>
    <col min="14596" max="14596" width="13.44140625" customWidth="1"/>
    <col min="14597" max="14598" width="21.33203125" customWidth="1"/>
    <col min="14599" max="14599" width="10.6640625" customWidth="1"/>
    <col min="14600" max="14600" width="19.88671875" customWidth="1"/>
    <col min="14601" max="14601" width="10.88671875" customWidth="1"/>
    <col min="14602" max="14603" width="20.88671875" customWidth="1"/>
    <col min="14604" max="14604" width="9.109375" customWidth="1"/>
    <col min="14852" max="14852" width="13.44140625" customWidth="1"/>
    <col min="14853" max="14854" width="21.33203125" customWidth="1"/>
    <col min="14855" max="14855" width="10.6640625" customWidth="1"/>
    <col min="14856" max="14856" width="19.88671875" customWidth="1"/>
    <col min="14857" max="14857" width="10.88671875" customWidth="1"/>
    <col min="14858" max="14859" width="20.88671875" customWidth="1"/>
    <col min="14860" max="14860" width="9.109375" customWidth="1"/>
    <col min="15108" max="15108" width="13.44140625" customWidth="1"/>
    <col min="15109" max="15110" width="21.33203125" customWidth="1"/>
    <col min="15111" max="15111" width="10.6640625" customWidth="1"/>
    <col min="15112" max="15112" width="19.88671875" customWidth="1"/>
    <col min="15113" max="15113" width="10.88671875" customWidth="1"/>
    <col min="15114" max="15115" width="20.88671875" customWidth="1"/>
    <col min="15116" max="15116" width="9.109375" customWidth="1"/>
    <col min="15364" max="15364" width="13.44140625" customWidth="1"/>
    <col min="15365" max="15366" width="21.33203125" customWidth="1"/>
    <col min="15367" max="15367" width="10.6640625" customWidth="1"/>
    <col min="15368" max="15368" width="19.88671875" customWidth="1"/>
    <col min="15369" max="15369" width="10.88671875" customWidth="1"/>
    <col min="15370" max="15371" width="20.88671875" customWidth="1"/>
    <col min="15372" max="15372" width="9.109375" customWidth="1"/>
    <col min="15620" max="15620" width="13.44140625" customWidth="1"/>
    <col min="15621" max="15622" width="21.33203125" customWidth="1"/>
    <col min="15623" max="15623" width="10.6640625" customWidth="1"/>
    <col min="15624" max="15624" width="19.88671875" customWidth="1"/>
    <col min="15625" max="15625" width="10.88671875" customWidth="1"/>
    <col min="15626" max="15627" width="20.88671875" customWidth="1"/>
    <col min="15628" max="15628" width="9.109375" customWidth="1"/>
    <col min="15876" max="15876" width="13.44140625" customWidth="1"/>
    <col min="15877" max="15878" width="21.33203125" customWidth="1"/>
    <col min="15879" max="15879" width="10.6640625" customWidth="1"/>
    <col min="15880" max="15880" width="19.88671875" customWidth="1"/>
    <col min="15881" max="15881" width="10.88671875" customWidth="1"/>
    <col min="15882" max="15883" width="20.88671875" customWidth="1"/>
    <col min="15884" max="15884" width="9.109375" customWidth="1"/>
    <col min="16132" max="16132" width="13.44140625" customWidth="1"/>
    <col min="16133" max="16134" width="21.33203125" customWidth="1"/>
    <col min="16135" max="16135" width="10.6640625" customWidth="1"/>
    <col min="16136" max="16136" width="19.88671875" customWidth="1"/>
    <col min="16137" max="16137" width="10.88671875" customWidth="1"/>
    <col min="16138" max="16139" width="20.88671875" customWidth="1"/>
    <col min="16140" max="16140" width="9.109375" customWidth="1"/>
  </cols>
  <sheetData>
    <row r="1" spans="2:15" ht="21.6" thickBot="1" x14ac:dyDescent="0.45">
      <c r="B1" s="79" t="s">
        <v>62</v>
      </c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</row>
    <row r="2" spans="2:15" ht="18" thickTop="1" x14ac:dyDescent="0.3">
      <c r="B2" s="81" t="s">
        <v>78</v>
      </c>
    </row>
    <row r="3" spans="2:15" s="83" customFormat="1" ht="15" x14ac:dyDescent="0.25"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</row>
    <row r="4" spans="2:15" s="83" customFormat="1" ht="15.6" x14ac:dyDescent="0.3">
      <c r="C4" s="84"/>
      <c r="D4" s="84"/>
      <c r="E4" s="84"/>
      <c r="F4" s="84"/>
      <c r="G4" s="84"/>
      <c r="H4" s="84"/>
      <c r="I4" s="84"/>
      <c r="J4" s="84"/>
      <c r="K4" s="292" t="s">
        <v>102</v>
      </c>
      <c r="L4" s="292"/>
      <c r="M4" s="292"/>
      <c r="N4" s="292"/>
      <c r="O4" s="292"/>
    </row>
    <row r="5" spans="2:15" s="113" customFormat="1" ht="31.2" x14ac:dyDescent="0.3">
      <c r="B5" s="107"/>
      <c r="C5" s="108" t="s">
        <v>55</v>
      </c>
      <c r="D5" s="109" t="s">
        <v>56</v>
      </c>
      <c r="E5" s="110" t="s">
        <v>57</v>
      </c>
      <c r="F5" s="111" t="s">
        <v>64</v>
      </c>
      <c r="G5" s="111" t="s">
        <v>58</v>
      </c>
      <c r="H5" s="112" t="s">
        <v>65</v>
      </c>
      <c r="I5" s="112" t="s">
        <v>58</v>
      </c>
      <c r="J5" s="114" t="s">
        <v>59</v>
      </c>
      <c r="K5" s="114" t="s">
        <v>101</v>
      </c>
      <c r="L5" s="118" t="s">
        <v>68</v>
      </c>
      <c r="M5" s="118" t="s">
        <v>58</v>
      </c>
      <c r="N5" s="130" t="s">
        <v>99</v>
      </c>
      <c r="O5" s="130" t="s">
        <v>72</v>
      </c>
    </row>
    <row r="6" spans="2:15" s="83" customFormat="1" ht="15" x14ac:dyDescent="0.25">
      <c r="B6" s="85"/>
      <c r="C6" s="86"/>
      <c r="D6" s="87"/>
      <c r="E6" s="88"/>
      <c r="F6" s="89"/>
      <c r="G6" s="89"/>
      <c r="H6" s="90"/>
      <c r="I6" s="90"/>
      <c r="J6" s="115"/>
      <c r="K6" s="115"/>
      <c r="L6" s="119"/>
      <c r="M6" s="119"/>
      <c r="N6" s="131"/>
      <c r="O6" s="131"/>
    </row>
    <row r="7" spans="2:15" s="83" customFormat="1" ht="15.6" x14ac:dyDescent="0.3">
      <c r="B7" s="91">
        <v>2014</v>
      </c>
      <c r="C7" s="86" t="s">
        <v>63</v>
      </c>
      <c r="D7" s="129" t="s">
        <v>66</v>
      </c>
      <c r="E7" s="88">
        <v>33.83</v>
      </c>
      <c r="F7" s="92">
        <v>69283</v>
      </c>
      <c r="G7" s="93">
        <f>SUM(F7/J7)</f>
        <v>0.84121125289882348</v>
      </c>
      <c r="H7" s="94">
        <v>10915</v>
      </c>
      <c r="I7" s="95">
        <f>SUM(H7/J7)</f>
        <v>0.13252631706754411</v>
      </c>
      <c r="J7" s="116">
        <v>82361</v>
      </c>
      <c r="K7" s="116">
        <f>SUM(J7/E7)</f>
        <v>2434.555128584097</v>
      </c>
      <c r="L7" s="120">
        <v>106667</v>
      </c>
      <c r="M7" s="122">
        <f>SUM(J7/L7)</f>
        <v>0.77213196208761847</v>
      </c>
      <c r="N7" s="132">
        <v>4870</v>
      </c>
      <c r="O7" s="133">
        <v>0.21510000000000001</v>
      </c>
    </row>
    <row r="8" spans="2:15" s="83" customFormat="1" ht="15" x14ac:dyDescent="0.25">
      <c r="B8" s="85" t="s">
        <v>70</v>
      </c>
      <c r="C8" s="86"/>
      <c r="D8" s="129" t="s">
        <v>100</v>
      </c>
      <c r="E8" s="88"/>
      <c r="F8" s="92"/>
      <c r="G8" s="93"/>
      <c r="H8" s="94"/>
      <c r="I8" s="95"/>
      <c r="J8" s="116"/>
      <c r="K8" s="116"/>
      <c r="L8" s="120"/>
      <c r="M8" s="120"/>
      <c r="N8" s="132"/>
      <c r="O8" s="132"/>
    </row>
    <row r="9" spans="2:15" s="83" customFormat="1" ht="15" x14ac:dyDescent="0.25">
      <c r="B9" s="85"/>
      <c r="C9" s="86"/>
      <c r="D9" s="129"/>
      <c r="E9" s="88"/>
      <c r="F9" s="92"/>
      <c r="G9" s="93"/>
      <c r="H9" s="94"/>
      <c r="I9" s="95"/>
      <c r="J9" s="116"/>
      <c r="K9" s="116"/>
      <c r="L9" s="120"/>
      <c r="M9" s="120"/>
      <c r="N9" s="132"/>
      <c r="O9" s="132"/>
    </row>
    <row r="10" spans="2:15" s="83" customFormat="1" ht="15.6" x14ac:dyDescent="0.3">
      <c r="B10" s="91">
        <v>2015</v>
      </c>
      <c r="C10" s="86" t="s">
        <v>63</v>
      </c>
      <c r="D10" s="129" t="s">
        <v>66</v>
      </c>
      <c r="E10" s="88">
        <v>32.83</v>
      </c>
      <c r="F10" s="92">
        <v>60186</v>
      </c>
      <c r="G10" s="93">
        <f>SUM(F10/J10)</f>
        <v>0.74824705355810828</v>
      </c>
      <c r="H10" s="94">
        <f>SUM(J10-F10)</f>
        <v>20250</v>
      </c>
      <c r="I10" s="95">
        <f>SUM(H10/J10)</f>
        <v>0.25175294644189167</v>
      </c>
      <c r="J10" s="116">
        <v>80436</v>
      </c>
      <c r="K10" s="116">
        <f>SUM(J10/E10)</f>
        <v>2450.0761498629304</v>
      </c>
      <c r="L10" s="120">
        <v>102917</v>
      </c>
      <c r="M10" s="122">
        <f>SUM(J10/L10)</f>
        <v>0.78156184109525151</v>
      </c>
      <c r="N10" s="132">
        <v>6216</v>
      </c>
      <c r="O10" s="133">
        <f>(N10/N7)-1</f>
        <v>0.27638603696098563</v>
      </c>
    </row>
    <row r="11" spans="2:15" s="83" customFormat="1" ht="15" x14ac:dyDescent="0.25">
      <c r="B11" s="123" t="s">
        <v>70</v>
      </c>
      <c r="C11" s="86"/>
      <c r="D11" s="129" t="s">
        <v>100</v>
      </c>
      <c r="E11" s="88"/>
      <c r="F11" s="92"/>
      <c r="G11" s="93"/>
      <c r="H11" s="94"/>
      <c r="I11" s="95"/>
      <c r="J11" s="116"/>
      <c r="K11" s="116"/>
      <c r="L11" s="120"/>
      <c r="M11" s="122"/>
      <c r="N11" s="132"/>
      <c r="O11" s="133"/>
    </row>
    <row r="12" spans="2:15" s="83" customFormat="1" ht="15.6" x14ac:dyDescent="0.3">
      <c r="B12" s="91"/>
      <c r="C12" s="86"/>
      <c r="D12" s="87"/>
      <c r="E12" s="88"/>
      <c r="F12" s="96"/>
      <c r="G12" s="97"/>
      <c r="H12" s="94"/>
      <c r="I12" s="95"/>
      <c r="J12" s="116"/>
      <c r="K12" s="116"/>
      <c r="L12" s="120"/>
      <c r="M12" s="122"/>
      <c r="N12" s="132"/>
      <c r="O12" s="133"/>
    </row>
    <row r="13" spans="2:15" s="83" customFormat="1" ht="15.6" x14ac:dyDescent="0.3">
      <c r="B13" s="91">
        <v>2016</v>
      </c>
      <c r="C13" s="86" t="s">
        <v>67</v>
      </c>
      <c r="D13" s="106">
        <v>0</v>
      </c>
      <c r="E13" s="88">
        <v>30.17</v>
      </c>
      <c r="F13" s="92">
        <v>60213</v>
      </c>
      <c r="G13" s="93">
        <f>SUM(F13/J13)</f>
        <v>0.80382602659262026</v>
      </c>
      <c r="H13" s="94">
        <f>SUM(J13-F13)</f>
        <v>14695</v>
      </c>
      <c r="I13" s="95">
        <f>SUM(H13/J13)</f>
        <v>0.19617397340737971</v>
      </c>
      <c r="J13" s="116">
        <v>74908</v>
      </c>
      <c r="K13" s="116">
        <f>SUM(J13/E13)</f>
        <v>2482.8637719588996</v>
      </c>
      <c r="L13" s="120">
        <v>91600</v>
      </c>
      <c r="M13" s="122">
        <f>SUM(J13/L13)</f>
        <v>0.81777292576419214</v>
      </c>
      <c r="N13" s="132">
        <v>5354</v>
      </c>
      <c r="O13" s="133">
        <f>(N13/N10)-1</f>
        <v>-0.13867438867438864</v>
      </c>
    </row>
    <row r="14" spans="2:15" s="83" customFormat="1" ht="15" x14ac:dyDescent="0.25">
      <c r="B14" s="123" t="s">
        <v>69</v>
      </c>
      <c r="C14" s="86"/>
      <c r="D14" s="106"/>
      <c r="E14" s="88"/>
      <c r="F14" s="92"/>
      <c r="G14" s="93"/>
      <c r="H14" s="94"/>
      <c r="I14" s="95"/>
      <c r="J14" s="116"/>
      <c r="K14" s="116"/>
      <c r="L14" s="120"/>
      <c r="M14" s="122"/>
      <c r="N14" s="132"/>
      <c r="O14" s="133"/>
    </row>
    <row r="15" spans="2:15" s="83" customFormat="1" ht="15.6" x14ac:dyDescent="0.3">
      <c r="B15" s="91"/>
      <c r="C15" s="86"/>
      <c r="D15" s="87"/>
      <c r="E15" s="88"/>
      <c r="F15" s="92"/>
      <c r="G15" s="93"/>
      <c r="H15" s="94"/>
      <c r="I15" s="95"/>
      <c r="J15" s="116"/>
      <c r="K15" s="116"/>
      <c r="L15" s="120"/>
      <c r="M15" s="122"/>
      <c r="N15" s="132"/>
      <c r="O15" s="133"/>
    </row>
    <row r="16" spans="2:15" s="83" customFormat="1" ht="15.6" x14ac:dyDescent="0.3">
      <c r="B16" s="91">
        <v>2017</v>
      </c>
      <c r="C16" s="86" t="s">
        <v>63</v>
      </c>
      <c r="D16" s="106">
        <v>0</v>
      </c>
      <c r="E16" s="88">
        <v>29.17</v>
      </c>
      <c r="F16" s="92">
        <v>62627</v>
      </c>
      <c r="G16" s="93">
        <f>SUM(F16/J16)</f>
        <v>0.88636492300724634</v>
      </c>
      <c r="H16" s="94">
        <f>SUM(J16-F16)</f>
        <v>8029</v>
      </c>
      <c r="I16" s="95">
        <f>SUM(H16/J16)</f>
        <v>0.11363507699275362</v>
      </c>
      <c r="J16" s="116">
        <v>70656</v>
      </c>
      <c r="K16" s="116">
        <f>SUM(J16/E16)</f>
        <v>2422.2146040452517</v>
      </c>
      <c r="L16" s="120">
        <v>94375</v>
      </c>
      <c r="M16" s="122">
        <f>SUM(J16/L16)</f>
        <v>0.74867284768211917</v>
      </c>
      <c r="N16" s="132">
        <v>5486</v>
      </c>
      <c r="O16" s="133">
        <f>(N16/N13)-1</f>
        <v>2.465446395218529E-2</v>
      </c>
    </row>
    <row r="17" spans="2:15" s="83" customFormat="1" ht="15" x14ac:dyDescent="0.25">
      <c r="B17" s="123" t="s">
        <v>69</v>
      </c>
      <c r="C17" s="86"/>
      <c r="D17" s="87"/>
      <c r="E17" s="88"/>
      <c r="F17" s="92"/>
      <c r="G17" s="93"/>
      <c r="H17" s="94"/>
      <c r="I17" s="95"/>
      <c r="J17" s="116"/>
      <c r="K17" s="116"/>
      <c r="L17" s="120"/>
      <c r="M17" s="122"/>
      <c r="N17" s="132"/>
      <c r="O17" s="133"/>
    </row>
    <row r="18" spans="2:15" s="83" customFormat="1" ht="15" x14ac:dyDescent="0.25">
      <c r="B18" s="123"/>
      <c r="C18" s="86"/>
      <c r="D18" s="87"/>
      <c r="E18" s="88"/>
      <c r="F18" s="92"/>
      <c r="G18" s="93"/>
      <c r="H18" s="94"/>
      <c r="I18" s="95"/>
      <c r="J18" s="116"/>
      <c r="K18" s="116"/>
      <c r="L18" s="120"/>
      <c r="M18" s="122"/>
      <c r="N18" s="132"/>
      <c r="O18" s="133"/>
    </row>
    <row r="19" spans="2:15" s="83" customFormat="1" ht="15.6" x14ac:dyDescent="0.3">
      <c r="B19" s="91">
        <v>2018</v>
      </c>
      <c r="C19" s="86" t="s">
        <v>67</v>
      </c>
      <c r="D19" s="106">
        <v>0</v>
      </c>
      <c r="E19" s="88">
        <v>22.67</v>
      </c>
      <c r="F19" s="92">
        <v>43684</v>
      </c>
      <c r="G19" s="93">
        <f>SUM(F19/J19)</f>
        <v>0.86506396292922494</v>
      </c>
      <c r="H19" s="94">
        <f>SUM(J19-F19)</f>
        <v>6814</v>
      </c>
      <c r="I19" s="95">
        <f>SUM(H19/J19)</f>
        <v>0.13493603707077509</v>
      </c>
      <c r="J19" s="116">
        <v>50498</v>
      </c>
      <c r="K19" s="116">
        <f>SUM(J19/E19)</f>
        <v>2227.525363917071</v>
      </c>
      <c r="L19" s="120">
        <v>69400</v>
      </c>
      <c r="M19" s="122">
        <f>SUM(J19/L19)</f>
        <v>0.72763688760806922</v>
      </c>
      <c r="N19" s="132">
        <v>5610</v>
      </c>
      <c r="O19" s="133">
        <f>(N19/N16)-1</f>
        <v>2.2602989427634057E-2</v>
      </c>
    </row>
    <row r="20" spans="2:15" s="83" customFormat="1" ht="15" x14ac:dyDescent="0.25">
      <c r="B20" s="123" t="s">
        <v>69</v>
      </c>
      <c r="C20" s="86"/>
      <c r="D20" s="87"/>
      <c r="E20" s="88"/>
      <c r="F20" s="92"/>
      <c r="G20" s="100"/>
      <c r="H20" s="101"/>
      <c r="I20" s="102"/>
      <c r="J20" s="117"/>
      <c r="K20" s="117"/>
      <c r="L20" s="121"/>
      <c r="M20" s="122"/>
      <c r="N20" s="134"/>
      <c r="O20" s="133"/>
    </row>
    <row r="21" spans="2:15" s="83" customFormat="1" ht="15.6" x14ac:dyDescent="0.3">
      <c r="B21" s="91"/>
      <c r="C21" s="86"/>
      <c r="D21" s="87"/>
      <c r="E21" s="88"/>
      <c r="F21" s="92"/>
      <c r="G21" s="100"/>
      <c r="H21" s="101"/>
      <c r="I21" s="102"/>
      <c r="J21" s="117"/>
      <c r="K21" s="117"/>
      <c r="L21" s="121"/>
      <c r="M21" s="122"/>
      <c r="N21" s="134"/>
      <c r="O21" s="133"/>
    </row>
    <row r="22" spans="2:15" s="83" customFormat="1" ht="15.6" x14ac:dyDescent="0.3">
      <c r="B22" s="91">
        <v>2019</v>
      </c>
      <c r="C22" s="86" t="s">
        <v>71</v>
      </c>
      <c r="D22" s="106">
        <v>0</v>
      </c>
      <c r="E22" s="88">
        <v>22</v>
      </c>
      <c r="F22" s="92">
        <v>44081</v>
      </c>
      <c r="G22" s="93">
        <f>SUM(F22/J22)</f>
        <v>0.83944622181596584</v>
      </c>
      <c r="H22" s="94">
        <f>SUM(J22-F22)</f>
        <v>8431</v>
      </c>
      <c r="I22" s="95">
        <f>H22/J22</f>
        <v>0.16055377818403413</v>
      </c>
      <c r="J22" s="116">
        <v>52512</v>
      </c>
      <c r="K22" s="116">
        <f>SUM(J22/E22)</f>
        <v>2386.909090909091</v>
      </c>
      <c r="L22" s="120">
        <v>75600</v>
      </c>
      <c r="M22" s="122">
        <f>SUM(J22/L22)</f>
        <v>0.69460317460317456</v>
      </c>
      <c r="N22" s="132">
        <v>6077</v>
      </c>
      <c r="O22" s="133">
        <f>(N22/N19)-1</f>
        <v>8.3244206773618545E-2</v>
      </c>
    </row>
    <row r="23" spans="2:15" s="83" customFormat="1" ht="15" x14ac:dyDescent="0.25">
      <c r="B23" s="123" t="s">
        <v>69</v>
      </c>
      <c r="C23" s="86"/>
      <c r="D23" s="87"/>
      <c r="E23" s="88"/>
      <c r="F23" s="92"/>
      <c r="G23" s="100"/>
      <c r="H23" s="101"/>
      <c r="I23" s="102"/>
      <c r="J23" s="117"/>
      <c r="K23" s="117"/>
      <c r="L23" s="121"/>
      <c r="M23" s="122"/>
      <c r="N23" s="134"/>
      <c r="O23" s="133"/>
    </row>
    <row r="24" spans="2:15" s="83" customFormat="1" ht="15.6" x14ac:dyDescent="0.3">
      <c r="B24" s="91"/>
      <c r="C24" s="86"/>
      <c r="D24" s="87"/>
      <c r="E24" s="88"/>
      <c r="F24" s="92"/>
      <c r="G24" s="100"/>
      <c r="H24" s="101"/>
      <c r="I24" s="102"/>
      <c r="J24" s="117"/>
      <c r="K24" s="117"/>
      <c r="L24" s="121"/>
      <c r="M24" s="122"/>
      <c r="N24" s="134"/>
      <c r="O24" s="133"/>
    </row>
    <row r="25" spans="2:15" s="83" customFormat="1" ht="15.6" x14ac:dyDescent="0.3">
      <c r="B25" s="91">
        <v>2020</v>
      </c>
      <c r="C25" s="86" t="s">
        <v>71</v>
      </c>
      <c r="D25" s="106">
        <v>0</v>
      </c>
      <c r="E25" s="88">
        <v>25</v>
      </c>
      <c r="F25" s="92">
        <v>35743</v>
      </c>
      <c r="G25" s="124">
        <v>0.7</v>
      </c>
      <c r="H25" s="125">
        <f>SUM(J25-F25)</f>
        <v>15318.428571428572</v>
      </c>
      <c r="I25" s="126">
        <f>SUM(H25/J25)</f>
        <v>0.3</v>
      </c>
      <c r="J25" s="127">
        <f>SUM(F25/0.7)</f>
        <v>51061.428571428572</v>
      </c>
      <c r="K25" s="127">
        <f>SUM(J25/E25)</f>
        <v>2042.4571428571428</v>
      </c>
      <c r="L25" s="120">
        <v>78600</v>
      </c>
      <c r="M25" s="122">
        <f>SUM(J25/L25)</f>
        <v>0.64963649581970195</v>
      </c>
      <c r="N25" s="132"/>
      <c r="O25" s="133"/>
    </row>
    <row r="26" spans="2:15" s="83" customFormat="1" ht="15" x14ac:dyDescent="0.25">
      <c r="B26" s="123" t="s">
        <v>69</v>
      </c>
      <c r="C26" s="98"/>
      <c r="D26" s="99"/>
      <c r="E26" s="88"/>
      <c r="F26" s="92"/>
      <c r="G26" s="100"/>
      <c r="H26" s="101"/>
      <c r="I26" s="102"/>
      <c r="J26" s="117"/>
      <c r="K26" s="117"/>
      <c r="L26" s="121"/>
      <c r="M26" s="122"/>
      <c r="N26" s="134"/>
      <c r="O26" s="133"/>
    </row>
    <row r="27" spans="2:15" s="83" customFormat="1" ht="15" x14ac:dyDescent="0.25">
      <c r="G27" s="103"/>
      <c r="H27" s="173" t="s">
        <v>145</v>
      </c>
      <c r="I27" s="128"/>
      <c r="J27" s="128"/>
      <c r="K27" s="128"/>
    </row>
    <row r="28" spans="2:15" ht="15" customHeight="1" x14ac:dyDescent="0.3"/>
    <row r="29" spans="2:15" ht="15" customHeight="1" x14ac:dyDescent="0.3"/>
    <row r="30" spans="2:15" x14ac:dyDescent="0.3">
      <c r="B30" s="104" t="s">
        <v>125</v>
      </c>
    </row>
    <row r="31" spans="2:15" x14ac:dyDescent="0.3">
      <c r="C31" s="105" t="s">
        <v>60</v>
      </c>
      <c r="D31" s="208">
        <v>3</v>
      </c>
    </row>
    <row r="32" spans="2:15" x14ac:dyDescent="0.3">
      <c r="C32" s="105" t="s">
        <v>73</v>
      </c>
      <c r="D32" s="208">
        <v>9</v>
      </c>
    </row>
    <row r="33" spans="3:7" x14ac:dyDescent="0.3">
      <c r="C33" s="105" t="s">
        <v>74</v>
      </c>
      <c r="D33" s="208">
        <v>9</v>
      </c>
      <c r="F33" s="105" t="s">
        <v>61</v>
      </c>
      <c r="G33" s="208">
        <v>7</v>
      </c>
    </row>
    <row r="34" spans="3:7" x14ac:dyDescent="0.3">
      <c r="C34" s="105" t="s">
        <v>75</v>
      </c>
      <c r="D34" s="208">
        <v>2</v>
      </c>
    </row>
    <row r="35" spans="3:7" x14ac:dyDescent="0.3">
      <c r="C35" s="105" t="s">
        <v>76</v>
      </c>
      <c r="D35" s="208">
        <v>1</v>
      </c>
    </row>
    <row r="36" spans="3:7" x14ac:dyDescent="0.3">
      <c r="C36" s="105" t="s">
        <v>77</v>
      </c>
      <c r="D36" s="209">
        <v>1</v>
      </c>
    </row>
    <row r="37" spans="3:7" x14ac:dyDescent="0.3">
      <c r="D37" s="82">
        <f>SUM(D31:D36)</f>
        <v>25</v>
      </c>
    </row>
  </sheetData>
  <mergeCells count="1">
    <mergeCell ref="K4:O4"/>
  </mergeCells>
  <printOptions horizontalCentered="1" verticalCentered="1"/>
  <pageMargins left="0.45" right="0.45" top="0.75" bottom="0.75" header="0.3" footer="0.3"/>
  <pageSetup scale="81" orientation="landscape" horizont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7BB87D-D0B6-47FE-B061-480B535B80E4}">
  <sheetPr>
    <pageSetUpPr fitToPage="1"/>
  </sheetPr>
  <dimension ref="A1:M70"/>
  <sheetViews>
    <sheetView zoomScale="80" zoomScaleNormal="80" workbookViewId="0">
      <selection activeCell="K18" sqref="K18"/>
    </sheetView>
  </sheetViews>
  <sheetFormatPr defaultColWidth="9.109375" defaultRowHeight="15.6" x14ac:dyDescent="0.3"/>
  <cols>
    <col min="1" max="1" width="40.5546875" style="1" customWidth="1"/>
    <col min="2" max="2" width="6.109375" style="1" customWidth="1"/>
    <col min="3" max="3" width="24.6640625" style="1" customWidth="1"/>
    <col min="4" max="4" width="6" style="1" customWidth="1"/>
    <col min="5" max="7" width="24.6640625" style="1" customWidth="1"/>
    <col min="8" max="256" width="9.109375" style="1"/>
    <col min="257" max="257" width="40.5546875" style="1" customWidth="1"/>
    <col min="258" max="258" width="6.109375" style="1" customWidth="1"/>
    <col min="259" max="260" width="24.6640625" style="1" customWidth="1"/>
    <col min="261" max="261" width="27.6640625" style="1" customWidth="1"/>
    <col min="262" max="512" width="9.109375" style="1"/>
    <col min="513" max="513" width="40.5546875" style="1" customWidth="1"/>
    <col min="514" max="514" width="6.109375" style="1" customWidth="1"/>
    <col min="515" max="516" width="24.6640625" style="1" customWidth="1"/>
    <col min="517" max="517" width="27.6640625" style="1" customWidth="1"/>
    <col min="518" max="768" width="9.109375" style="1"/>
    <col min="769" max="769" width="40.5546875" style="1" customWidth="1"/>
    <col min="770" max="770" width="6.109375" style="1" customWidth="1"/>
    <col min="771" max="772" width="24.6640625" style="1" customWidth="1"/>
    <col min="773" max="773" width="27.6640625" style="1" customWidth="1"/>
    <col min="774" max="1024" width="9.109375" style="1"/>
    <col min="1025" max="1025" width="40.5546875" style="1" customWidth="1"/>
    <col min="1026" max="1026" width="6.109375" style="1" customWidth="1"/>
    <col min="1027" max="1028" width="24.6640625" style="1" customWidth="1"/>
    <col min="1029" max="1029" width="27.6640625" style="1" customWidth="1"/>
    <col min="1030" max="1280" width="9.109375" style="1"/>
    <col min="1281" max="1281" width="40.5546875" style="1" customWidth="1"/>
    <col min="1282" max="1282" width="6.109375" style="1" customWidth="1"/>
    <col min="1283" max="1284" width="24.6640625" style="1" customWidth="1"/>
    <col min="1285" max="1285" width="27.6640625" style="1" customWidth="1"/>
    <col min="1286" max="1536" width="9.109375" style="1"/>
    <col min="1537" max="1537" width="40.5546875" style="1" customWidth="1"/>
    <col min="1538" max="1538" width="6.109375" style="1" customWidth="1"/>
    <col min="1539" max="1540" width="24.6640625" style="1" customWidth="1"/>
    <col min="1541" max="1541" width="27.6640625" style="1" customWidth="1"/>
    <col min="1542" max="1792" width="9.109375" style="1"/>
    <col min="1793" max="1793" width="40.5546875" style="1" customWidth="1"/>
    <col min="1794" max="1794" width="6.109375" style="1" customWidth="1"/>
    <col min="1795" max="1796" width="24.6640625" style="1" customWidth="1"/>
    <col min="1797" max="1797" width="27.6640625" style="1" customWidth="1"/>
    <col min="1798" max="2048" width="9.109375" style="1"/>
    <col min="2049" max="2049" width="40.5546875" style="1" customWidth="1"/>
    <col min="2050" max="2050" width="6.109375" style="1" customWidth="1"/>
    <col min="2051" max="2052" width="24.6640625" style="1" customWidth="1"/>
    <col min="2053" max="2053" width="27.6640625" style="1" customWidth="1"/>
    <col min="2054" max="2304" width="9.109375" style="1"/>
    <col min="2305" max="2305" width="40.5546875" style="1" customWidth="1"/>
    <col min="2306" max="2306" width="6.109375" style="1" customWidth="1"/>
    <col min="2307" max="2308" width="24.6640625" style="1" customWidth="1"/>
    <col min="2309" max="2309" width="27.6640625" style="1" customWidth="1"/>
    <col min="2310" max="2560" width="9.109375" style="1"/>
    <col min="2561" max="2561" width="40.5546875" style="1" customWidth="1"/>
    <col min="2562" max="2562" width="6.109375" style="1" customWidth="1"/>
    <col min="2563" max="2564" width="24.6640625" style="1" customWidth="1"/>
    <col min="2565" max="2565" width="27.6640625" style="1" customWidth="1"/>
    <col min="2566" max="2816" width="9.109375" style="1"/>
    <col min="2817" max="2817" width="40.5546875" style="1" customWidth="1"/>
    <col min="2818" max="2818" width="6.109375" style="1" customWidth="1"/>
    <col min="2819" max="2820" width="24.6640625" style="1" customWidth="1"/>
    <col min="2821" max="2821" width="27.6640625" style="1" customWidth="1"/>
    <col min="2822" max="3072" width="9.109375" style="1"/>
    <col min="3073" max="3073" width="40.5546875" style="1" customWidth="1"/>
    <col min="3074" max="3074" width="6.109375" style="1" customWidth="1"/>
    <col min="3075" max="3076" width="24.6640625" style="1" customWidth="1"/>
    <col min="3077" max="3077" width="27.6640625" style="1" customWidth="1"/>
    <col min="3078" max="3328" width="9.109375" style="1"/>
    <col min="3329" max="3329" width="40.5546875" style="1" customWidth="1"/>
    <col min="3330" max="3330" width="6.109375" style="1" customWidth="1"/>
    <col min="3331" max="3332" width="24.6640625" style="1" customWidth="1"/>
    <col min="3333" max="3333" width="27.6640625" style="1" customWidth="1"/>
    <col min="3334" max="3584" width="9.109375" style="1"/>
    <col min="3585" max="3585" width="40.5546875" style="1" customWidth="1"/>
    <col min="3586" max="3586" width="6.109375" style="1" customWidth="1"/>
    <col min="3587" max="3588" width="24.6640625" style="1" customWidth="1"/>
    <col min="3589" max="3589" width="27.6640625" style="1" customWidth="1"/>
    <col min="3590" max="3840" width="9.109375" style="1"/>
    <col min="3841" max="3841" width="40.5546875" style="1" customWidth="1"/>
    <col min="3842" max="3842" width="6.109375" style="1" customWidth="1"/>
    <col min="3843" max="3844" width="24.6640625" style="1" customWidth="1"/>
    <col min="3845" max="3845" width="27.6640625" style="1" customWidth="1"/>
    <col min="3846" max="4096" width="9.109375" style="1"/>
    <col min="4097" max="4097" width="40.5546875" style="1" customWidth="1"/>
    <col min="4098" max="4098" width="6.109375" style="1" customWidth="1"/>
    <col min="4099" max="4100" width="24.6640625" style="1" customWidth="1"/>
    <col min="4101" max="4101" width="27.6640625" style="1" customWidth="1"/>
    <col min="4102" max="4352" width="9.109375" style="1"/>
    <col min="4353" max="4353" width="40.5546875" style="1" customWidth="1"/>
    <col min="4354" max="4354" width="6.109375" style="1" customWidth="1"/>
    <col min="4355" max="4356" width="24.6640625" style="1" customWidth="1"/>
    <col min="4357" max="4357" width="27.6640625" style="1" customWidth="1"/>
    <col min="4358" max="4608" width="9.109375" style="1"/>
    <col min="4609" max="4609" width="40.5546875" style="1" customWidth="1"/>
    <col min="4610" max="4610" width="6.109375" style="1" customWidth="1"/>
    <col min="4611" max="4612" width="24.6640625" style="1" customWidth="1"/>
    <col min="4613" max="4613" width="27.6640625" style="1" customWidth="1"/>
    <col min="4614" max="4864" width="9.109375" style="1"/>
    <col min="4865" max="4865" width="40.5546875" style="1" customWidth="1"/>
    <col min="4866" max="4866" width="6.109375" style="1" customWidth="1"/>
    <col min="4867" max="4868" width="24.6640625" style="1" customWidth="1"/>
    <col min="4869" max="4869" width="27.6640625" style="1" customWidth="1"/>
    <col min="4870" max="5120" width="9.109375" style="1"/>
    <col min="5121" max="5121" width="40.5546875" style="1" customWidth="1"/>
    <col min="5122" max="5122" width="6.109375" style="1" customWidth="1"/>
    <col min="5123" max="5124" width="24.6640625" style="1" customWidth="1"/>
    <col min="5125" max="5125" width="27.6640625" style="1" customWidth="1"/>
    <col min="5126" max="5376" width="9.109375" style="1"/>
    <col min="5377" max="5377" width="40.5546875" style="1" customWidth="1"/>
    <col min="5378" max="5378" width="6.109375" style="1" customWidth="1"/>
    <col min="5379" max="5380" width="24.6640625" style="1" customWidth="1"/>
    <col min="5381" max="5381" width="27.6640625" style="1" customWidth="1"/>
    <col min="5382" max="5632" width="9.109375" style="1"/>
    <col min="5633" max="5633" width="40.5546875" style="1" customWidth="1"/>
    <col min="5634" max="5634" width="6.109375" style="1" customWidth="1"/>
    <col min="5635" max="5636" width="24.6640625" style="1" customWidth="1"/>
    <col min="5637" max="5637" width="27.6640625" style="1" customWidth="1"/>
    <col min="5638" max="5888" width="9.109375" style="1"/>
    <col min="5889" max="5889" width="40.5546875" style="1" customWidth="1"/>
    <col min="5890" max="5890" width="6.109375" style="1" customWidth="1"/>
    <col min="5891" max="5892" width="24.6640625" style="1" customWidth="1"/>
    <col min="5893" max="5893" width="27.6640625" style="1" customWidth="1"/>
    <col min="5894" max="6144" width="9.109375" style="1"/>
    <col min="6145" max="6145" width="40.5546875" style="1" customWidth="1"/>
    <col min="6146" max="6146" width="6.109375" style="1" customWidth="1"/>
    <col min="6147" max="6148" width="24.6640625" style="1" customWidth="1"/>
    <col min="6149" max="6149" width="27.6640625" style="1" customWidth="1"/>
    <col min="6150" max="6400" width="9.109375" style="1"/>
    <col min="6401" max="6401" width="40.5546875" style="1" customWidth="1"/>
    <col min="6402" max="6402" width="6.109375" style="1" customWidth="1"/>
    <col min="6403" max="6404" width="24.6640625" style="1" customWidth="1"/>
    <col min="6405" max="6405" width="27.6640625" style="1" customWidth="1"/>
    <col min="6406" max="6656" width="9.109375" style="1"/>
    <col min="6657" max="6657" width="40.5546875" style="1" customWidth="1"/>
    <col min="6658" max="6658" width="6.109375" style="1" customWidth="1"/>
    <col min="6659" max="6660" width="24.6640625" style="1" customWidth="1"/>
    <col min="6661" max="6661" width="27.6640625" style="1" customWidth="1"/>
    <col min="6662" max="6912" width="9.109375" style="1"/>
    <col min="6913" max="6913" width="40.5546875" style="1" customWidth="1"/>
    <col min="6914" max="6914" width="6.109375" style="1" customWidth="1"/>
    <col min="6915" max="6916" width="24.6640625" style="1" customWidth="1"/>
    <col min="6917" max="6917" width="27.6640625" style="1" customWidth="1"/>
    <col min="6918" max="7168" width="9.109375" style="1"/>
    <col min="7169" max="7169" width="40.5546875" style="1" customWidth="1"/>
    <col min="7170" max="7170" width="6.109375" style="1" customWidth="1"/>
    <col min="7171" max="7172" width="24.6640625" style="1" customWidth="1"/>
    <col min="7173" max="7173" width="27.6640625" style="1" customWidth="1"/>
    <col min="7174" max="7424" width="9.109375" style="1"/>
    <col min="7425" max="7425" width="40.5546875" style="1" customWidth="1"/>
    <col min="7426" max="7426" width="6.109375" style="1" customWidth="1"/>
    <col min="7427" max="7428" width="24.6640625" style="1" customWidth="1"/>
    <col min="7429" max="7429" width="27.6640625" style="1" customWidth="1"/>
    <col min="7430" max="7680" width="9.109375" style="1"/>
    <col min="7681" max="7681" width="40.5546875" style="1" customWidth="1"/>
    <col min="7682" max="7682" width="6.109375" style="1" customWidth="1"/>
    <col min="7683" max="7684" width="24.6640625" style="1" customWidth="1"/>
    <col min="7685" max="7685" width="27.6640625" style="1" customWidth="1"/>
    <col min="7686" max="7936" width="9.109375" style="1"/>
    <col min="7937" max="7937" width="40.5546875" style="1" customWidth="1"/>
    <col min="7938" max="7938" width="6.109375" style="1" customWidth="1"/>
    <col min="7939" max="7940" width="24.6640625" style="1" customWidth="1"/>
    <col min="7941" max="7941" width="27.6640625" style="1" customWidth="1"/>
    <col min="7942" max="8192" width="9.109375" style="1"/>
    <col min="8193" max="8193" width="40.5546875" style="1" customWidth="1"/>
    <col min="8194" max="8194" width="6.109375" style="1" customWidth="1"/>
    <col min="8195" max="8196" width="24.6640625" style="1" customWidth="1"/>
    <col min="8197" max="8197" width="27.6640625" style="1" customWidth="1"/>
    <col min="8198" max="8448" width="9.109375" style="1"/>
    <col min="8449" max="8449" width="40.5546875" style="1" customWidth="1"/>
    <col min="8450" max="8450" width="6.109375" style="1" customWidth="1"/>
    <col min="8451" max="8452" width="24.6640625" style="1" customWidth="1"/>
    <col min="8453" max="8453" width="27.6640625" style="1" customWidth="1"/>
    <col min="8454" max="8704" width="9.109375" style="1"/>
    <col min="8705" max="8705" width="40.5546875" style="1" customWidth="1"/>
    <col min="8706" max="8706" width="6.109375" style="1" customWidth="1"/>
    <col min="8707" max="8708" width="24.6640625" style="1" customWidth="1"/>
    <col min="8709" max="8709" width="27.6640625" style="1" customWidth="1"/>
    <col min="8710" max="8960" width="9.109375" style="1"/>
    <col min="8961" max="8961" width="40.5546875" style="1" customWidth="1"/>
    <col min="8962" max="8962" width="6.109375" style="1" customWidth="1"/>
    <col min="8963" max="8964" width="24.6640625" style="1" customWidth="1"/>
    <col min="8965" max="8965" width="27.6640625" style="1" customWidth="1"/>
    <col min="8966" max="9216" width="9.109375" style="1"/>
    <col min="9217" max="9217" width="40.5546875" style="1" customWidth="1"/>
    <col min="9218" max="9218" width="6.109375" style="1" customWidth="1"/>
    <col min="9219" max="9220" width="24.6640625" style="1" customWidth="1"/>
    <col min="9221" max="9221" width="27.6640625" style="1" customWidth="1"/>
    <col min="9222" max="9472" width="9.109375" style="1"/>
    <col min="9473" max="9473" width="40.5546875" style="1" customWidth="1"/>
    <col min="9474" max="9474" width="6.109375" style="1" customWidth="1"/>
    <col min="9475" max="9476" width="24.6640625" style="1" customWidth="1"/>
    <col min="9477" max="9477" width="27.6640625" style="1" customWidth="1"/>
    <col min="9478" max="9728" width="9.109375" style="1"/>
    <col min="9729" max="9729" width="40.5546875" style="1" customWidth="1"/>
    <col min="9730" max="9730" width="6.109375" style="1" customWidth="1"/>
    <col min="9731" max="9732" width="24.6640625" style="1" customWidth="1"/>
    <col min="9733" max="9733" width="27.6640625" style="1" customWidth="1"/>
    <col min="9734" max="9984" width="9.109375" style="1"/>
    <col min="9985" max="9985" width="40.5546875" style="1" customWidth="1"/>
    <col min="9986" max="9986" width="6.109375" style="1" customWidth="1"/>
    <col min="9987" max="9988" width="24.6640625" style="1" customWidth="1"/>
    <col min="9989" max="9989" width="27.6640625" style="1" customWidth="1"/>
    <col min="9990" max="10240" width="9.109375" style="1"/>
    <col min="10241" max="10241" width="40.5546875" style="1" customWidth="1"/>
    <col min="10242" max="10242" width="6.109375" style="1" customWidth="1"/>
    <col min="10243" max="10244" width="24.6640625" style="1" customWidth="1"/>
    <col min="10245" max="10245" width="27.6640625" style="1" customWidth="1"/>
    <col min="10246" max="10496" width="9.109375" style="1"/>
    <col min="10497" max="10497" width="40.5546875" style="1" customWidth="1"/>
    <col min="10498" max="10498" width="6.109375" style="1" customWidth="1"/>
    <col min="10499" max="10500" width="24.6640625" style="1" customWidth="1"/>
    <col min="10501" max="10501" width="27.6640625" style="1" customWidth="1"/>
    <col min="10502" max="10752" width="9.109375" style="1"/>
    <col min="10753" max="10753" width="40.5546875" style="1" customWidth="1"/>
    <col min="10754" max="10754" width="6.109375" style="1" customWidth="1"/>
    <col min="10755" max="10756" width="24.6640625" style="1" customWidth="1"/>
    <col min="10757" max="10757" width="27.6640625" style="1" customWidth="1"/>
    <col min="10758" max="11008" width="9.109375" style="1"/>
    <col min="11009" max="11009" width="40.5546875" style="1" customWidth="1"/>
    <col min="11010" max="11010" width="6.109375" style="1" customWidth="1"/>
    <col min="11011" max="11012" width="24.6640625" style="1" customWidth="1"/>
    <col min="11013" max="11013" width="27.6640625" style="1" customWidth="1"/>
    <col min="11014" max="11264" width="9.109375" style="1"/>
    <col min="11265" max="11265" width="40.5546875" style="1" customWidth="1"/>
    <col min="11266" max="11266" width="6.109375" style="1" customWidth="1"/>
    <col min="11267" max="11268" width="24.6640625" style="1" customWidth="1"/>
    <col min="11269" max="11269" width="27.6640625" style="1" customWidth="1"/>
    <col min="11270" max="11520" width="9.109375" style="1"/>
    <col min="11521" max="11521" width="40.5546875" style="1" customWidth="1"/>
    <col min="11522" max="11522" width="6.109375" style="1" customWidth="1"/>
    <col min="11523" max="11524" width="24.6640625" style="1" customWidth="1"/>
    <col min="11525" max="11525" width="27.6640625" style="1" customWidth="1"/>
    <col min="11526" max="11776" width="9.109375" style="1"/>
    <col min="11777" max="11777" width="40.5546875" style="1" customWidth="1"/>
    <col min="11778" max="11778" width="6.109375" style="1" customWidth="1"/>
    <col min="11779" max="11780" width="24.6640625" style="1" customWidth="1"/>
    <col min="11781" max="11781" width="27.6640625" style="1" customWidth="1"/>
    <col min="11782" max="12032" width="9.109375" style="1"/>
    <col min="12033" max="12033" width="40.5546875" style="1" customWidth="1"/>
    <col min="12034" max="12034" width="6.109375" style="1" customWidth="1"/>
    <col min="12035" max="12036" width="24.6640625" style="1" customWidth="1"/>
    <col min="12037" max="12037" width="27.6640625" style="1" customWidth="1"/>
    <col min="12038" max="12288" width="9.109375" style="1"/>
    <col min="12289" max="12289" width="40.5546875" style="1" customWidth="1"/>
    <col min="12290" max="12290" width="6.109375" style="1" customWidth="1"/>
    <col min="12291" max="12292" width="24.6640625" style="1" customWidth="1"/>
    <col min="12293" max="12293" width="27.6640625" style="1" customWidth="1"/>
    <col min="12294" max="12544" width="9.109375" style="1"/>
    <col min="12545" max="12545" width="40.5546875" style="1" customWidth="1"/>
    <col min="12546" max="12546" width="6.109375" style="1" customWidth="1"/>
    <col min="12547" max="12548" width="24.6640625" style="1" customWidth="1"/>
    <col min="12549" max="12549" width="27.6640625" style="1" customWidth="1"/>
    <col min="12550" max="12800" width="9.109375" style="1"/>
    <col min="12801" max="12801" width="40.5546875" style="1" customWidth="1"/>
    <col min="12802" max="12802" width="6.109375" style="1" customWidth="1"/>
    <col min="12803" max="12804" width="24.6640625" style="1" customWidth="1"/>
    <col min="12805" max="12805" width="27.6640625" style="1" customWidth="1"/>
    <col min="12806" max="13056" width="9.109375" style="1"/>
    <col min="13057" max="13057" width="40.5546875" style="1" customWidth="1"/>
    <col min="13058" max="13058" width="6.109375" style="1" customWidth="1"/>
    <col min="13059" max="13060" width="24.6640625" style="1" customWidth="1"/>
    <col min="13061" max="13061" width="27.6640625" style="1" customWidth="1"/>
    <col min="13062" max="13312" width="9.109375" style="1"/>
    <col min="13313" max="13313" width="40.5546875" style="1" customWidth="1"/>
    <col min="13314" max="13314" width="6.109375" style="1" customWidth="1"/>
    <col min="13315" max="13316" width="24.6640625" style="1" customWidth="1"/>
    <col min="13317" max="13317" width="27.6640625" style="1" customWidth="1"/>
    <col min="13318" max="13568" width="9.109375" style="1"/>
    <col min="13569" max="13569" width="40.5546875" style="1" customWidth="1"/>
    <col min="13570" max="13570" width="6.109375" style="1" customWidth="1"/>
    <col min="13571" max="13572" width="24.6640625" style="1" customWidth="1"/>
    <col min="13573" max="13573" width="27.6640625" style="1" customWidth="1"/>
    <col min="13574" max="13824" width="9.109375" style="1"/>
    <col min="13825" max="13825" width="40.5546875" style="1" customWidth="1"/>
    <col min="13826" max="13826" width="6.109375" style="1" customWidth="1"/>
    <col min="13827" max="13828" width="24.6640625" style="1" customWidth="1"/>
    <col min="13829" max="13829" width="27.6640625" style="1" customWidth="1"/>
    <col min="13830" max="14080" width="9.109375" style="1"/>
    <col min="14081" max="14081" width="40.5546875" style="1" customWidth="1"/>
    <col min="14082" max="14082" width="6.109375" style="1" customWidth="1"/>
    <col min="14083" max="14084" width="24.6640625" style="1" customWidth="1"/>
    <col min="14085" max="14085" width="27.6640625" style="1" customWidth="1"/>
    <col min="14086" max="14336" width="9.109375" style="1"/>
    <col min="14337" max="14337" width="40.5546875" style="1" customWidth="1"/>
    <col min="14338" max="14338" width="6.109375" style="1" customWidth="1"/>
    <col min="14339" max="14340" width="24.6640625" style="1" customWidth="1"/>
    <col min="14341" max="14341" width="27.6640625" style="1" customWidth="1"/>
    <col min="14342" max="14592" width="9.109375" style="1"/>
    <col min="14593" max="14593" width="40.5546875" style="1" customWidth="1"/>
    <col min="14594" max="14594" width="6.109375" style="1" customWidth="1"/>
    <col min="14595" max="14596" width="24.6640625" style="1" customWidth="1"/>
    <col min="14597" max="14597" width="27.6640625" style="1" customWidth="1"/>
    <col min="14598" max="14848" width="9.109375" style="1"/>
    <col min="14849" max="14849" width="40.5546875" style="1" customWidth="1"/>
    <col min="14850" max="14850" width="6.109375" style="1" customWidth="1"/>
    <col min="14851" max="14852" width="24.6640625" style="1" customWidth="1"/>
    <col min="14853" max="14853" width="27.6640625" style="1" customWidth="1"/>
    <col min="14854" max="15104" width="9.109375" style="1"/>
    <col min="15105" max="15105" width="40.5546875" style="1" customWidth="1"/>
    <col min="15106" max="15106" width="6.109375" style="1" customWidth="1"/>
    <col min="15107" max="15108" width="24.6640625" style="1" customWidth="1"/>
    <col min="15109" max="15109" width="27.6640625" style="1" customWidth="1"/>
    <col min="15110" max="15360" width="9.109375" style="1"/>
    <col min="15361" max="15361" width="40.5546875" style="1" customWidth="1"/>
    <col min="15362" max="15362" width="6.109375" style="1" customWidth="1"/>
    <col min="15363" max="15364" width="24.6640625" style="1" customWidth="1"/>
    <col min="15365" max="15365" width="27.6640625" style="1" customWidth="1"/>
    <col min="15366" max="15616" width="9.109375" style="1"/>
    <col min="15617" max="15617" width="40.5546875" style="1" customWidth="1"/>
    <col min="15618" max="15618" width="6.109375" style="1" customWidth="1"/>
    <col min="15619" max="15620" width="24.6640625" style="1" customWidth="1"/>
    <col min="15621" max="15621" width="27.6640625" style="1" customWidth="1"/>
    <col min="15622" max="15872" width="9.109375" style="1"/>
    <col min="15873" max="15873" width="40.5546875" style="1" customWidth="1"/>
    <col min="15874" max="15874" width="6.109375" style="1" customWidth="1"/>
    <col min="15875" max="15876" width="24.6640625" style="1" customWidth="1"/>
    <col min="15877" max="15877" width="27.6640625" style="1" customWidth="1"/>
    <col min="15878" max="16128" width="9.109375" style="1"/>
    <col min="16129" max="16129" width="40.5546875" style="1" customWidth="1"/>
    <col min="16130" max="16130" width="6.109375" style="1" customWidth="1"/>
    <col min="16131" max="16132" width="24.6640625" style="1" customWidth="1"/>
    <col min="16133" max="16133" width="27.6640625" style="1" customWidth="1"/>
    <col min="16134" max="16384" width="9.109375" style="1"/>
  </cols>
  <sheetData>
    <row r="1" spans="1:13" ht="23.4" x14ac:dyDescent="0.45">
      <c r="A1" s="3" t="s">
        <v>85</v>
      </c>
      <c r="B1" s="3"/>
      <c r="C1" s="3"/>
      <c r="D1" s="3"/>
      <c r="E1" s="24"/>
      <c r="F1" s="24"/>
      <c r="G1" s="24"/>
    </row>
    <row r="2" spans="1:13" ht="22.95" customHeight="1" x14ac:dyDescent="0.45">
      <c r="A2" s="8" t="s">
        <v>37</v>
      </c>
      <c r="B2" s="3"/>
      <c r="C2" s="3"/>
      <c r="D2" s="3"/>
      <c r="E2" s="67"/>
      <c r="F2" s="74"/>
      <c r="G2" s="74"/>
    </row>
    <row r="3" spans="1:13" ht="21.6" customHeight="1" thickBot="1" x14ac:dyDescent="0.5">
      <c r="B3" s="3"/>
      <c r="C3" s="6" t="s">
        <v>50</v>
      </c>
      <c r="D3" s="6"/>
      <c r="E3" s="7" t="s">
        <v>86</v>
      </c>
      <c r="F3" s="7" t="s">
        <v>87</v>
      </c>
      <c r="G3" s="7" t="s">
        <v>96</v>
      </c>
    </row>
    <row r="4" spans="1:13" ht="16.2" thickBot="1" x14ac:dyDescent="0.35">
      <c r="A4" s="2"/>
      <c r="B4" s="2"/>
      <c r="C4" s="5" t="s">
        <v>26</v>
      </c>
      <c r="D4" s="5"/>
      <c r="E4" s="5" t="s">
        <v>26</v>
      </c>
      <c r="F4" s="5" t="s">
        <v>26</v>
      </c>
      <c r="G4" s="5" t="s">
        <v>89</v>
      </c>
    </row>
    <row r="5" spans="1:13" ht="29.4" thickBot="1" x14ac:dyDescent="0.6">
      <c r="A5" s="44" t="s">
        <v>0</v>
      </c>
      <c r="B5" s="45"/>
      <c r="C5" s="61" t="s">
        <v>43</v>
      </c>
      <c r="D5" s="61"/>
      <c r="E5" s="61" t="s">
        <v>43</v>
      </c>
      <c r="F5" s="61" t="s">
        <v>43</v>
      </c>
      <c r="G5" s="61" t="s">
        <v>90</v>
      </c>
      <c r="J5" s="205" t="s">
        <v>124</v>
      </c>
      <c r="K5" s="205"/>
      <c r="L5" s="205"/>
      <c r="M5" s="205"/>
    </row>
    <row r="6" spans="1:13" ht="15.6" customHeight="1" x14ac:dyDescent="0.3">
      <c r="A6" s="42" t="s">
        <v>1</v>
      </c>
      <c r="B6" s="43"/>
      <c r="C6" s="68" t="s">
        <v>41</v>
      </c>
      <c r="D6" s="68"/>
      <c r="E6" s="68" t="s">
        <v>41</v>
      </c>
      <c r="F6" s="68" t="s">
        <v>41</v>
      </c>
      <c r="G6" s="167" t="s">
        <v>91</v>
      </c>
    </row>
    <row r="7" spans="1:13" ht="15.6" customHeight="1" x14ac:dyDescent="0.3">
      <c r="A7" s="42" t="s">
        <v>6</v>
      </c>
      <c r="B7" s="43"/>
      <c r="C7" s="69" t="s">
        <v>41</v>
      </c>
      <c r="D7" s="69"/>
      <c r="E7" s="69" t="s">
        <v>41</v>
      </c>
      <c r="F7" s="69" t="s">
        <v>41</v>
      </c>
      <c r="G7" s="168" t="s">
        <v>92</v>
      </c>
    </row>
    <row r="8" spans="1:13" ht="15.6" customHeight="1" x14ac:dyDescent="0.3">
      <c r="A8" s="42" t="s">
        <v>4</v>
      </c>
      <c r="B8" s="43"/>
      <c r="C8" s="70" t="s">
        <v>5</v>
      </c>
      <c r="D8" s="70"/>
      <c r="E8" s="70" t="s">
        <v>5</v>
      </c>
      <c r="F8" s="70" t="s">
        <v>5</v>
      </c>
      <c r="G8" s="169" t="s">
        <v>5</v>
      </c>
    </row>
    <row r="9" spans="1:13" ht="15.6" customHeight="1" x14ac:dyDescent="0.3">
      <c r="A9" s="42" t="s">
        <v>2</v>
      </c>
      <c r="B9" s="43"/>
      <c r="C9" s="71" t="s">
        <v>3</v>
      </c>
      <c r="D9" s="71"/>
      <c r="E9" s="71" t="s">
        <v>3</v>
      </c>
      <c r="F9" s="71" t="s">
        <v>3</v>
      </c>
      <c r="G9" s="170" t="s">
        <v>3</v>
      </c>
    </row>
    <row r="10" spans="1:13" ht="15.6" customHeight="1" x14ac:dyDescent="0.3">
      <c r="A10" s="42" t="s">
        <v>7</v>
      </c>
      <c r="B10" s="43"/>
      <c r="C10" s="69" t="s">
        <v>20</v>
      </c>
      <c r="D10" s="69"/>
      <c r="E10" s="72" t="s">
        <v>51</v>
      </c>
      <c r="F10" s="72" t="s">
        <v>51</v>
      </c>
      <c r="G10" s="168" t="s">
        <v>51</v>
      </c>
    </row>
    <row r="11" spans="1:13" ht="15.6" customHeight="1" x14ac:dyDescent="0.3">
      <c r="A11" s="42" t="s">
        <v>8</v>
      </c>
      <c r="B11" s="43"/>
      <c r="C11" s="70" t="s">
        <v>5</v>
      </c>
      <c r="D11" s="70"/>
      <c r="E11" s="70" t="s">
        <v>5</v>
      </c>
      <c r="F11" s="70" t="s">
        <v>5</v>
      </c>
      <c r="G11" s="169" t="s">
        <v>5</v>
      </c>
    </row>
    <row r="12" spans="1:13" ht="15.6" customHeight="1" x14ac:dyDescent="0.3">
      <c r="A12" s="42" t="s">
        <v>27</v>
      </c>
      <c r="B12" s="43"/>
      <c r="C12" s="71">
        <v>2700</v>
      </c>
      <c r="D12" s="71"/>
      <c r="E12" s="71">
        <v>2700</v>
      </c>
      <c r="F12" s="71">
        <v>2700</v>
      </c>
      <c r="G12" s="170">
        <v>6750</v>
      </c>
    </row>
    <row r="13" spans="1:13" ht="15.6" customHeight="1" x14ac:dyDescent="0.3">
      <c r="A13" s="42" t="s">
        <v>44</v>
      </c>
      <c r="B13" s="43"/>
      <c r="C13" s="71">
        <v>5400</v>
      </c>
      <c r="D13" s="71"/>
      <c r="E13" s="71">
        <v>5400</v>
      </c>
      <c r="F13" s="71">
        <v>5400</v>
      </c>
      <c r="G13" s="170">
        <v>8150</v>
      </c>
    </row>
    <row r="14" spans="1:13" ht="15.6" customHeight="1" x14ac:dyDescent="0.3">
      <c r="A14" s="42" t="s">
        <v>28</v>
      </c>
      <c r="B14" s="43"/>
      <c r="C14" s="71">
        <v>5400</v>
      </c>
      <c r="D14" s="71"/>
      <c r="E14" s="71">
        <v>5400</v>
      </c>
      <c r="F14" s="71">
        <v>5400</v>
      </c>
      <c r="G14" s="170">
        <v>13500</v>
      </c>
    </row>
    <row r="15" spans="1:13" ht="15.6" customHeight="1" x14ac:dyDescent="0.3">
      <c r="A15" s="42" t="s">
        <v>9</v>
      </c>
      <c r="B15" s="43"/>
      <c r="C15" s="26" t="s">
        <v>45</v>
      </c>
      <c r="D15" s="26"/>
      <c r="E15" s="26" t="s">
        <v>45</v>
      </c>
      <c r="F15" s="26" t="s">
        <v>45</v>
      </c>
      <c r="G15" s="26" t="s">
        <v>45</v>
      </c>
    </row>
    <row r="16" spans="1:13" ht="29.4" customHeight="1" thickBot="1" x14ac:dyDescent="0.35">
      <c r="A16" s="42" t="s">
        <v>10</v>
      </c>
      <c r="B16" s="43"/>
      <c r="C16" s="27" t="s">
        <v>42</v>
      </c>
      <c r="D16" s="27"/>
      <c r="E16" s="27" t="s">
        <v>42</v>
      </c>
      <c r="F16" s="27" t="s">
        <v>42</v>
      </c>
      <c r="G16" s="27" t="s">
        <v>42</v>
      </c>
    </row>
    <row r="17" spans="1:10" ht="18.600000000000001" thickBot="1" x14ac:dyDescent="0.35">
      <c r="A17" s="44" t="s">
        <v>11</v>
      </c>
      <c r="B17" s="46"/>
      <c r="C17" s="47"/>
      <c r="D17" s="47"/>
      <c r="E17" s="47"/>
      <c r="F17" s="47"/>
      <c r="G17" s="47"/>
    </row>
    <row r="18" spans="1:10" ht="15.6" customHeight="1" x14ac:dyDescent="0.3">
      <c r="A18" s="42" t="s">
        <v>12</v>
      </c>
      <c r="B18" s="43"/>
      <c r="C18" s="28">
        <v>0</v>
      </c>
      <c r="D18" s="28"/>
      <c r="E18" s="28"/>
      <c r="F18" s="28"/>
      <c r="G18" s="28">
        <v>0</v>
      </c>
    </row>
    <row r="19" spans="1:10" ht="15.6" customHeight="1" x14ac:dyDescent="0.3">
      <c r="A19" s="42" t="s">
        <v>81</v>
      </c>
      <c r="B19" s="43"/>
      <c r="C19" s="65" t="s">
        <v>47</v>
      </c>
      <c r="D19" s="65"/>
      <c r="E19" s="69" t="s">
        <v>53</v>
      </c>
      <c r="F19" s="69" t="s">
        <v>53</v>
      </c>
      <c r="G19" s="171" t="s">
        <v>93</v>
      </c>
    </row>
    <row r="20" spans="1:10" ht="15.6" customHeight="1" x14ac:dyDescent="0.3">
      <c r="A20" s="42" t="s">
        <v>13</v>
      </c>
      <c r="B20" s="43"/>
      <c r="C20" s="65" t="s">
        <v>47</v>
      </c>
      <c r="D20" s="65"/>
      <c r="E20" s="65"/>
      <c r="F20" s="65"/>
      <c r="G20" s="171" t="s">
        <v>93</v>
      </c>
    </row>
    <row r="21" spans="1:10" ht="15.6" customHeight="1" x14ac:dyDescent="0.3">
      <c r="A21" s="42" t="s">
        <v>79</v>
      </c>
      <c r="B21" s="43"/>
      <c r="C21" s="65" t="s">
        <v>47</v>
      </c>
      <c r="D21" s="65"/>
      <c r="E21" s="65"/>
      <c r="F21" s="65"/>
      <c r="G21" s="171" t="s">
        <v>93</v>
      </c>
    </row>
    <row r="22" spans="1:10" ht="15.6" customHeight="1" x14ac:dyDescent="0.3">
      <c r="A22" s="42" t="s">
        <v>14</v>
      </c>
      <c r="B22" s="43"/>
      <c r="C22" s="65" t="s">
        <v>47</v>
      </c>
      <c r="D22" s="65"/>
      <c r="E22" s="65"/>
      <c r="F22" s="65"/>
      <c r="G22" s="171" t="s">
        <v>93</v>
      </c>
    </row>
    <row r="23" spans="1:10" ht="15.6" customHeight="1" x14ac:dyDescent="0.3">
      <c r="A23" s="42" t="s">
        <v>80</v>
      </c>
      <c r="B23" s="43"/>
      <c r="C23" s="65" t="s">
        <v>47</v>
      </c>
      <c r="D23" s="65"/>
      <c r="E23" s="65"/>
      <c r="F23" s="65"/>
      <c r="G23" s="171" t="s">
        <v>93</v>
      </c>
    </row>
    <row r="24" spans="1:10" ht="16.2" customHeight="1" x14ac:dyDescent="0.3">
      <c r="A24" s="42" t="s">
        <v>15</v>
      </c>
      <c r="B24" s="43"/>
      <c r="C24" s="65" t="s">
        <v>47</v>
      </c>
      <c r="D24" s="65"/>
      <c r="E24" s="65"/>
      <c r="F24" s="65"/>
      <c r="G24" s="171" t="s">
        <v>94</v>
      </c>
    </row>
    <row r="25" spans="1:10" ht="16.95" customHeight="1" thickBot="1" x14ac:dyDescent="0.35">
      <c r="A25" s="42" t="s">
        <v>46</v>
      </c>
      <c r="B25" s="43"/>
      <c r="C25" s="41" t="s">
        <v>49</v>
      </c>
      <c r="D25" s="41"/>
      <c r="E25" s="41"/>
      <c r="F25" s="41"/>
      <c r="G25" s="172" t="s">
        <v>95</v>
      </c>
    </row>
    <row r="26" spans="1:10" hidden="1" x14ac:dyDescent="0.3">
      <c r="A26" s="29" t="s">
        <v>16</v>
      </c>
      <c r="B26" s="30"/>
      <c r="C26" s="65" t="s">
        <v>25</v>
      </c>
      <c r="D26" s="65"/>
      <c r="E26" s="65" t="s">
        <v>25</v>
      </c>
      <c r="F26" s="65" t="s">
        <v>25</v>
      </c>
      <c r="G26" s="65" t="s">
        <v>25</v>
      </c>
    </row>
    <row r="27" spans="1:10" hidden="1" x14ac:dyDescent="0.3">
      <c r="A27" s="31" t="s">
        <v>17</v>
      </c>
      <c r="B27" s="25"/>
      <c r="C27" s="65" t="s">
        <v>25</v>
      </c>
      <c r="D27" s="65"/>
      <c r="E27" s="65" t="s">
        <v>25</v>
      </c>
      <c r="F27" s="65" t="s">
        <v>25</v>
      </c>
      <c r="G27" s="65" t="s">
        <v>25</v>
      </c>
    </row>
    <row r="28" spans="1:10" hidden="1" x14ac:dyDescent="0.3">
      <c r="A28" s="31" t="s">
        <v>18</v>
      </c>
      <c r="B28" s="25"/>
      <c r="C28" s="65" t="s">
        <v>25</v>
      </c>
      <c r="D28" s="65"/>
      <c r="E28" s="65" t="s">
        <v>25</v>
      </c>
      <c r="F28" s="65" t="s">
        <v>25</v>
      </c>
      <c r="G28" s="65" t="s">
        <v>25</v>
      </c>
    </row>
    <row r="29" spans="1:10" hidden="1" x14ac:dyDescent="0.3">
      <c r="A29" s="31" t="s">
        <v>19</v>
      </c>
      <c r="B29" s="25"/>
      <c r="C29" s="65" t="s">
        <v>25</v>
      </c>
      <c r="D29" s="65"/>
      <c r="E29" s="65" t="s">
        <v>25</v>
      </c>
      <c r="F29" s="65" t="s">
        <v>25</v>
      </c>
      <c r="G29" s="65" t="s">
        <v>25</v>
      </c>
    </row>
    <row r="30" spans="1:10" ht="22.95" customHeight="1" thickBot="1" x14ac:dyDescent="0.45">
      <c r="A30" s="135" t="s">
        <v>38</v>
      </c>
      <c r="B30" s="32"/>
      <c r="C30" s="32"/>
      <c r="D30" s="32"/>
      <c r="E30" s="32"/>
      <c r="F30" s="32"/>
      <c r="G30" s="32"/>
    </row>
    <row r="31" spans="1:10" s="9" customFormat="1" ht="16.95" customHeight="1" thickTop="1" x14ac:dyDescent="0.35">
      <c r="A31" s="35" t="s">
        <v>21</v>
      </c>
      <c r="B31" s="36">
        <v>16</v>
      </c>
      <c r="C31" s="48">
        <f>SUM(583.79+17.5)</f>
        <v>601.29</v>
      </c>
      <c r="D31" s="48"/>
      <c r="E31" s="48">
        <f>SUM(651.82+17.5)</f>
        <v>669.32</v>
      </c>
      <c r="F31" s="75">
        <f>SUM(651.82+17.5)</f>
        <v>669.32</v>
      </c>
      <c r="G31" s="75">
        <f>SUM(490.01+17.5)</f>
        <v>507.51</v>
      </c>
      <c r="J31" s="139"/>
    </row>
    <row r="32" spans="1:10" s="9" customFormat="1" ht="16.95" customHeight="1" x14ac:dyDescent="0.35">
      <c r="A32" s="37" t="s">
        <v>22</v>
      </c>
      <c r="B32" s="33">
        <v>3</v>
      </c>
      <c r="C32" s="49">
        <f>SUM(1167.58+17.5)</f>
        <v>1185.08</v>
      </c>
      <c r="D32" s="49"/>
      <c r="E32" s="49">
        <f>SUM(1303.64+17.5)</f>
        <v>1321.14</v>
      </c>
      <c r="F32" s="76">
        <f>SUM(1303.64+17.5)</f>
        <v>1321.14</v>
      </c>
      <c r="G32" s="76">
        <f>SUM(980.02+17.5)</f>
        <v>997.52</v>
      </c>
    </row>
    <row r="33" spans="1:8" s="9" customFormat="1" ht="16.95" customHeight="1" x14ac:dyDescent="0.35">
      <c r="A33" s="37" t="s">
        <v>23</v>
      </c>
      <c r="B33" s="33">
        <v>1</v>
      </c>
      <c r="C33" s="49">
        <f>SUM(1126.71+7.5)</f>
        <v>1134.21</v>
      </c>
      <c r="D33" s="49"/>
      <c r="E33" s="49">
        <f>SUM(1258.01+17.5)</f>
        <v>1275.51</v>
      </c>
      <c r="F33" s="76">
        <f>SUM(1258.01+17.5)</f>
        <v>1275.51</v>
      </c>
      <c r="G33" s="76">
        <f>SUM(945.72+17.5)</f>
        <v>963.22</v>
      </c>
    </row>
    <row r="34" spans="1:8" s="9" customFormat="1" ht="16.95" customHeight="1" x14ac:dyDescent="0.35">
      <c r="A34" s="37" t="s">
        <v>24</v>
      </c>
      <c r="B34" s="34">
        <v>2</v>
      </c>
      <c r="C34" s="50">
        <f>SUM(1640.45+17.5)</f>
        <v>1657.95</v>
      </c>
      <c r="D34" s="50"/>
      <c r="E34" s="50">
        <f>SUM(1831.61+17.5)</f>
        <v>1849.11</v>
      </c>
      <c r="F34" s="77">
        <f>SUM(1831.61+17.5)</f>
        <v>1849.11</v>
      </c>
      <c r="G34" s="77">
        <f>SUM(1376.93+17.5)</f>
        <v>1394.43</v>
      </c>
    </row>
    <row r="35" spans="1:8" s="12" customFormat="1" ht="21.6" thickBot="1" x14ac:dyDescent="0.45">
      <c r="A35" s="38" t="s">
        <v>31</v>
      </c>
      <c r="B35" s="39">
        <f>SUM(B31:B34)</f>
        <v>22</v>
      </c>
      <c r="C35" s="40">
        <f>SUM(($B$31*C31)+($B$32*C32)+($B$33*C33)+($B$34*C34))*12</f>
        <v>211511.88</v>
      </c>
      <c r="D35" s="51"/>
      <c r="E35" s="51">
        <f>SUM(($B$31*E31)+($B$32*E32)+($B$33*E33)+($B$34*E34))*12</f>
        <v>235755.24</v>
      </c>
      <c r="F35" s="78">
        <f>SUM(($B$31*F31)+($B$32*F32)+($B$33*F33)+($B$34*F34))*12</f>
        <v>235755.24</v>
      </c>
      <c r="G35" s="78">
        <f>SUM(($B$31*G31)+($B$32*G32)+($B$33*G33)+($B$34*G34))*12</f>
        <v>178377.59999999998</v>
      </c>
    </row>
    <row r="36" spans="1:8" s="12" customFormat="1" ht="16.95" customHeight="1" thickTop="1" x14ac:dyDescent="0.4">
      <c r="A36" s="293" t="s">
        <v>39</v>
      </c>
      <c r="B36" s="293"/>
      <c r="C36" s="293"/>
      <c r="D36" s="164"/>
      <c r="E36" s="140">
        <f>SUM(E35-$C$35)</f>
        <v>24243.359999999986</v>
      </c>
      <c r="F36" s="140">
        <f>SUM(F35-$C$35)</f>
        <v>24243.359999999986</v>
      </c>
      <c r="G36" s="140">
        <f>SUM(G35-$C$35)</f>
        <v>-33134.280000000028</v>
      </c>
    </row>
    <row r="37" spans="1:8" customFormat="1" ht="14.4" customHeight="1" x14ac:dyDescent="0.35">
      <c r="A37" s="141" t="s">
        <v>54</v>
      </c>
      <c r="B37" s="18"/>
      <c r="C37" s="18"/>
      <c r="D37" s="18"/>
      <c r="E37" s="63">
        <f>SUM(E36/$C$35)</f>
        <v>0.1146193774080207</v>
      </c>
      <c r="F37" s="63">
        <f>SUM(F36/$C$35)</f>
        <v>0.1146193774080207</v>
      </c>
      <c r="G37" s="63">
        <f>SUM(G36/$C$35)</f>
        <v>-0.15665446309682476</v>
      </c>
    </row>
    <row r="38" spans="1:8" customFormat="1" ht="26.4" customHeight="1" x14ac:dyDescent="0.4">
      <c r="A38" s="13" t="s">
        <v>36</v>
      </c>
      <c r="B38" s="64"/>
      <c r="C38" s="64"/>
      <c r="D38" s="64"/>
      <c r="E38" s="4"/>
      <c r="F38" s="4"/>
      <c r="G38" s="4"/>
    </row>
    <row r="39" spans="1:8" ht="16.2" customHeight="1" x14ac:dyDescent="0.35">
      <c r="A39" s="153" t="s">
        <v>33</v>
      </c>
      <c r="B39" s="154"/>
      <c r="C39" s="155">
        <f>SUM(C12)</f>
        <v>2700</v>
      </c>
      <c r="D39" s="166">
        <f>SUM(C39*$D$42)</f>
        <v>2178.5714285714284</v>
      </c>
      <c r="E39" s="16">
        <f>SUM(E12)</f>
        <v>2700</v>
      </c>
      <c r="F39" s="16">
        <v>0</v>
      </c>
      <c r="G39" s="16">
        <v>0</v>
      </c>
    </row>
    <row r="40" spans="1:8" ht="16.2" customHeight="1" x14ac:dyDescent="0.35">
      <c r="A40" s="153" t="s">
        <v>34</v>
      </c>
      <c r="B40" s="154"/>
      <c r="C40" s="156">
        <f>SUM(C14)</f>
        <v>5400</v>
      </c>
      <c r="D40" s="166">
        <f>SUM(C40*$D$42)</f>
        <v>4357.1428571428569</v>
      </c>
      <c r="E40" s="17">
        <f>SUM(E14)</f>
        <v>5400</v>
      </c>
      <c r="F40" s="17">
        <v>0</v>
      </c>
      <c r="G40" s="17">
        <v>0</v>
      </c>
    </row>
    <row r="41" spans="1:8" s="9" customFormat="1" ht="16.95" customHeight="1" x14ac:dyDescent="0.35">
      <c r="A41" s="14" t="s">
        <v>35</v>
      </c>
      <c r="B41" s="15"/>
      <c r="C41" s="16">
        <f>SUM(($B31*C12)+($B32*C14)+(B33*C14)+($B34*C14))</f>
        <v>75600</v>
      </c>
      <c r="D41" s="16"/>
      <c r="E41" s="16">
        <f>SUM(($B31*E12)+($B32*E14)+(B33*E14)+($B34*E14))</f>
        <v>75600</v>
      </c>
      <c r="F41" s="16">
        <v>0</v>
      </c>
      <c r="G41" s="16">
        <f>SUM(($B31*G12)+($B32*G14)+($B$33*G14)+($B34*G14))</f>
        <v>189000</v>
      </c>
    </row>
    <row r="42" spans="1:8" s="9" customFormat="1" ht="16.95" customHeight="1" x14ac:dyDescent="0.35">
      <c r="A42" s="14" t="s">
        <v>103</v>
      </c>
      <c r="B42" s="15"/>
      <c r="C42" s="16">
        <v>61000</v>
      </c>
      <c r="D42" s="165">
        <f>SUM(C42/C41)</f>
        <v>0.80687830687830686</v>
      </c>
      <c r="E42" s="16">
        <v>61000</v>
      </c>
      <c r="F42" s="16">
        <v>0</v>
      </c>
      <c r="G42" s="16">
        <v>0</v>
      </c>
    </row>
    <row r="43" spans="1:8" s="9" customFormat="1" ht="16.95" customHeight="1" x14ac:dyDescent="0.35">
      <c r="A43" s="14" t="s">
        <v>52</v>
      </c>
      <c r="B43" s="15"/>
      <c r="C43" s="16">
        <v>0</v>
      </c>
      <c r="D43" s="16"/>
      <c r="E43" s="16">
        <v>0</v>
      </c>
      <c r="F43" s="16">
        <v>0</v>
      </c>
      <c r="G43" s="16">
        <v>0</v>
      </c>
    </row>
    <row r="44" spans="1:8" s="9" customFormat="1" ht="16.95" customHeight="1" x14ac:dyDescent="0.35">
      <c r="A44" s="157" t="s">
        <v>83</v>
      </c>
      <c r="B44" s="158"/>
      <c r="C44" s="159">
        <f>SUM(C35+C42+C43)</f>
        <v>272511.88</v>
      </c>
      <c r="D44" s="159"/>
      <c r="E44" s="159">
        <f>SUM(E35+E42+E43)</f>
        <v>296755.24</v>
      </c>
      <c r="F44" s="159">
        <f>SUM(F35+F42+F43)</f>
        <v>235755.24</v>
      </c>
      <c r="G44" s="159">
        <f>SUM(G35+G42+G43)</f>
        <v>178377.59999999998</v>
      </c>
    </row>
    <row r="45" spans="1:8" s="9" customFormat="1" ht="10.199999999999999" customHeight="1" x14ac:dyDescent="0.35">
      <c r="A45" s="145"/>
      <c r="B45" s="146"/>
      <c r="C45" s="147"/>
      <c r="D45" s="147"/>
      <c r="E45" s="147"/>
      <c r="F45" s="147"/>
      <c r="G45" s="147"/>
      <c r="H45" s="148"/>
    </row>
    <row r="46" spans="1:8" s="9" customFormat="1" ht="16.95" customHeight="1" x14ac:dyDescent="0.35">
      <c r="A46" s="143" t="s">
        <v>30</v>
      </c>
      <c r="B46" s="142"/>
      <c r="C46" s="144">
        <f>SUM(C35-C56)</f>
        <v>74439.88</v>
      </c>
      <c r="D46" s="144"/>
      <c r="E46" s="144">
        <f>SUM(E35-E56)</f>
        <v>98683.239999999991</v>
      </c>
      <c r="F46" s="144">
        <f>SUM(F35-F56)</f>
        <v>153595.24</v>
      </c>
      <c r="G46" s="144">
        <f>SUM(G35-G56)</f>
        <v>136777.59999999998</v>
      </c>
    </row>
    <row r="47" spans="1:8" s="56" customFormat="1" ht="19.2" customHeight="1" x14ac:dyDescent="0.3">
      <c r="A47" s="53" t="s">
        <v>82</v>
      </c>
      <c r="B47" s="54"/>
      <c r="C47" s="55">
        <f>SUM(C42+C46)+C43</f>
        <v>135439.88</v>
      </c>
      <c r="D47" s="55"/>
      <c r="E47" s="55">
        <f>SUM(E42+E46)+E43</f>
        <v>159683.24</v>
      </c>
      <c r="F47" s="55">
        <f>SUM(F42+F46)+F43</f>
        <v>153595.24</v>
      </c>
      <c r="G47" s="55">
        <f>SUM(G42+G46)+G43</f>
        <v>136777.59999999998</v>
      </c>
    </row>
    <row r="48" spans="1:8" ht="18.600000000000001" customHeight="1" x14ac:dyDescent="0.4">
      <c r="A48" s="150" t="s">
        <v>40</v>
      </c>
      <c r="B48" s="151"/>
      <c r="C48" s="152"/>
      <c r="D48" s="152"/>
      <c r="E48" s="144">
        <f>SUM(E47-$C$47)</f>
        <v>24243.359999999986</v>
      </c>
      <c r="F48" s="144">
        <f>SUM(F47-$C$47)</f>
        <v>18155.359999999986</v>
      </c>
      <c r="G48" s="144">
        <f>SUM(G47-$C$47)</f>
        <v>1337.7199999999721</v>
      </c>
    </row>
    <row r="49" spans="1:7" ht="13.2" customHeight="1" x14ac:dyDescent="0.4">
      <c r="A49" s="160"/>
      <c r="B49" s="151"/>
      <c r="C49" s="152"/>
      <c r="D49" s="152"/>
      <c r="E49" s="149">
        <f>SUM(E48/$C$47)</f>
        <v>0.17899720525446408</v>
      </c>
      <c r="F49" s="149">
        <f>SUM(F48/$C$47)</f>
        <v>0.13404737216246784</v>
      </c>
      <c r="G49" s="149">
        <f>SUM(G48/$C$47)</f>
        <v>9.8768545866990722E-3</v>
      </c>
    </row>
    <row r="50" spans="1:7" s="56" customFormat="1" ht="15.6" customHeight="1" x14ac:dyDescent="0.3">
      <c r="A50" s="162" t="s">
        <v>84</v>
      </c>
      <c r="B50" s="163"/>
      <c r="C50" s="161">
        <f>SUM(C47/C44)</f>
        <v>0.49700541495658834</v>
      </c>
      <c r="D50" s="161"/>
      <c r="E50" s="161">
        <f t="shared" ref="E50" si="0">SUM(E47/E44)</f>
        <v>0.53809745701541778</v>
      </c>
      <c r="F50" s="161">
        <f>SUM(F47/F44)</f>
        <v>0.6515029740166115</v>
      </c>
      <c r="G50" s="161">
        <f>SUM(G47/G44)</f>
        <v>0.76678686113054551</v>
      </c>
    </row>
    <row r="51" spans="1:7" ht="24.6" customHeight="1" thickBot="1" x14ac:dyDescent="0.4">
      <c r="A51" s="23" t="s">
        <v>32</v>
      </c>
      <c r="E51" s="62"/>
      <c r="F51" s="73" t="s">
        <v>88</v>
      </c>
      <c r="G51" s="73" t="s">
        <v>97</v>
      </c>
    </row>
    <row r="52" spans="1:7" s="9" customFormat="1" ht="16.95" customHeight="1" x14ac:dyDescent="0.35">
      <c r="A52" s="10" t="s">
        <v>21</v>
      </c>
      <c r="B52" s="21">
        <v>16</v>
      </c>
      <c r="C52" s="59">
        <v>90</v>
      </c>
      <c r="D52" s="59"/>
      <c r="E52" s="59">
        <v>90</v>
      </c>
      <c r="F52" s="59">
        <v>40</v>
      </c>
      <c r="G52" s="59">
        <v>20</v>
      </c>
    </row>
    <row r="53" spans="1:7" s="9" customFormat="1" ht="16.95" customHeight="1" x14ac:dyDescent="0.35">
      <c r="A53" s="11" t="s">
        <v>22</v>
      </c>
      <c r="B53" s="18">
        <v>3</v>
      </c>
      <c r="C53" s="57">
        <v>180</v>
      </c>
      <c r="D53" s="57"/>
      <c r="E53" s="57">
        <v>180</v>
      </c>
      <c r="F53" s="57">
        <v>140</v>
      </c>
      <c r="G53" s="57">
        <v>70</v>
      </c>
    </row>
    <row r="54" spans="1:7" s="9" customFormat="1" ht="16.95" customHeight="1" x14ac:dyDescent="0.35">
      <c r="A54" s="11" t="s">
        <v>23</v>
      </c>
      <c r="B54" s="18">
        <v>1</v>
      </c>
      <c r="C54" s="57">
        <v>180</v>
      </c>
      <c r="D54" s="57"/>
      <c r="E54" s="57">
        <v>180</v>
      </c>
      <c r="F54" s="57">
        <v>140</v>
      </c>
      <c r="G54" s="57">
        <v>70</v>
      </c>
    </row>
    <row r="55" spans="1:7" s="9" customFormat="1" ht="16.95" customHeight="1" x14ac:dyDescent="0.35">
      <c r="A55" s="11" t="s">
        <v>24</v>
      </c>
      <c r="B55" s="22">
        <v>2</v>
      </c>
      <c r="C55" s="58">
        <v>238</v>
      </c>
      <c r="D55" s="58"/>
      <c r="E55" s="58">
        <v>238</v>
      </c>
      <c r="F55" s="58">
        <v>190</v>
      </c>
      <c r="G55" s="58">
        <v>100</v>
      </c>
    </row>
    <row r="56" spans="1:7" s="66" customFormat="1" ht="16.95" customHeight="1" thickBot="1" x14ac:dyDescent="0.35">
      <c r="A56" s="136" t="s">
        <v>29</v>
      </c>
      <c r="B56" s="137">
        <v>22</v>
      </c>
      <c r="C56" s="138">
        <f>SUM(($B52*C52)+($B53*C53)+($B54*C54)+($B55*C55))*52</f>
        <v>137072</v>
      </c>
      <c r="D56" s="138"/>
      <c r="E56" s="138">
        <f>SUM(($B52*E52)+($B53*E53)+($B54*E54)+($B55*E55))*52</f>
        <v>137072</v>
      </c>
      <c r="F56" s="138">
        <f>SUM(($B52*F52)+($B53*F53)+($B54*F54)+($B55*F55))*52</f>
        <v>82160</v>
      </c>
      <c r="G56" s="138">
        <f>SUM(($B52*G52)+($B53*G53)+($B54*G54)+($B55*G55))*52</f>
        <v>41600</v>
      </c>
    </row>
    <row r="57" spans="1:7" ht="10.199999999999999" customHeight="1" x14ac:dyDescent="0.3"/>
    <row r="58" spans="1:7" ht="16.95" customHeight="1" thickBot="1" x14ac:dyDescent="0.4">
      <c r="A58" s="23" t="s">
        <v>98</v>
      </c>
      <c r="B58" s="52"/>
      <c r="C58" s="52"/>
      <c r="D58" s="52"/>
      <c r="E58" s="52"/>
      <c r="F58" s="52"/>
      <c r="G58" s="52"/>
    </row>
    <row r="59" spans="1:7" s="9" customFormat="1" ht="16.95" customHeight="1" x14ac:dyDescent="0.35">
      <c r="A59" s="10" t="s">
        <v>21</v>
      </c>
      <c r="B59" s="21"/>
      <c r="C59" s="59">
        <f>SUM((C12-C39)+(C52*52))</f>
        <v>4680</v>
      </c>
      <c r="D59" s="59"/>
      <c r="E59" s="59">
        <f>SUM((E12-E39)+(E52*52))</f>
        <v>4680</v>
      </c>
      <c r="F59" s="59">
        <f>SUM((F12-F39)+(F52*52))</f>
        <v>4780</v>
      </c>
      <c r="G59" s="59">
        <f>SUM((G12-G39)+(G52*52))</f>
        <v>7790</v>
      </c>
    </row>
    <row r="60" spans="1:7" s="9" customFormat="1" ht="16.95" customHeight="1" x14ac:dyDescent="0.35">
      <c r="A60" s="11" t="s">
        <v>22</v>
      </c>
      <c r="B60" s="18"/>
      <c r="C60" s="57">
        <f>SUM((C14-C40)+(C53*52))</f>
        <v>9360</v>
      </c>
      <c r="D60" s="57"/>
      <c r="E60" s="57">
        <f>SUM((E14-E40)+(E53*52))</f>
        <v>9360</v>
      </c>
      <c r="F60" s="57">
        <f>SUM((F14-F40)+(F53*52))</f>
        <v>12680</v>
      </c>
      <c r="G60" s="57">
        <f>SUM((G14-G40)+(G53*52))</f>
        <v>17140</v>
      </c>
    </row>
    <row r="61" spans="1:7" s="9" customFormat="1" ht="16.95" customHeight="1" x14ac:dyDescent="0.35">
      <c r="A61" s="11" t="s">
        <v>23</v>
      </c>
      <c r="B61" s="18"/>
      <c r="C61" s="57">
        <f>SUM((C14-C40)+(C54*52))</f>
        <v>9360</v>
      </c>
      <c r="D61" s="57"/>
      <c r="E61" s="57">
        <f>SUM((E14-E40)+(E54*52))</f>
        <v>9360</v>
      </c>
      <c r="F61" s="57">
        <f>SUM((F14-F40)+(F54*52))</f>
        <v>12680</v>
      </c>
      <c r="G61" s="57">
        <f>SUM((G14-G40)+(G54*52))</f>
        <v>17140</v>
      </c>
    </row>
    <row r="62" spans="1:7" s="9" customFormat="1" ht="16.95" customHeight="1" thickBot="1" x14ac:dyDescent="0.4">
      <c r="A62" s="19" t="s">
        <v>24</v>
      </c>
      <c r="B62" s="20"/>
      <c r="C62" s="60">
        <f>SUM((C14-C40)+(C55*52))</f>
        <v>12376</v>
      </c>
      <c r="D62" s="60"/>
      <c r="E62" s="60">
        <f>SUM((E14-E40)+(E55*52))</f>
        <v>12376</v>
      </c>
      <c r="F62" s="60">
        <f>SUM((F14-F40)+(F55*52))</f>
        <v>15280</v>
      </c>
      <c r="G62" s="60">
        <f>SUM((G14-G40)+(G55*52))</f>
        <v>18700</v>
      </c>
    </row>
    <row r="63" spans="1:7" ht="6.6" customHeight="1" x14ac:dyDescent="0.3"/>
    <row r="64" spans="1:7" ht="16.95" customHeight="1" thickBot="1" x14ac:dyDescent="0.4">
      <c r="A64" s="23" t="s">
        <v>48</v>
      </c>
      <c r="B64" s="52"/>
      <c r="C64" s="52"/>
      <c r="D64" s="52"/>
      <c r="E64" s="52"/>
      <c r="F64" s="52"/>
      <c r="G64" s="52"/>
    </row>
    <row r="65" spans="1:7" s="9" customFormat="1" ht="16.95" customHeight="1" x14ac:dyDescent="0.35">
      <c r="A65" s="10" t="s">
        <v>21</v>
      </c>
      <c r="B65" s="21"/>
      <c r="C65" s="59">
        <f>SUM((C31*12)+D39)-(C52*52)</f>
        <v>4714.0514285714271</v>
      </c>
      <c r="D65" s="59"/>
      <c r="E65" s="59">
        <f>SUM((E31*12)+D39)-(E52*52)</f>
        <v>5530.4114285714277</v>
      </c>
      <c r="F65" s="59">
        <f>SUM((F31*12)-(F52*52))</f>
        <v>5951.84</v>
      </c>
      <c r="G65" s="59">
        <f>SUM(G31*12)-(G52*52)</f>
        <v>5050.12</v>
      </c>
    </row>
    <row r="66" spans="1:7" s="9" customFormat="1" ht="16.95" customHeight="1" x14ac:dyDescent="0.35">
      <c r="A66" s="11" t="s">
        <v>22</v>
      </c>
      <c r="B66" s="18"/>
      <c r="C66" s="57">
        <f>SUM((C32*12)+$D$40)-(C53*52)</f>
        <v>9218.1028571428542</v>
      </c>
      <c r="D66" s="57"/>
      <c r="E66" s="57">
        <f>SUM((E32*12)+$D$40)-(E53*52)</f>
        <v>10850.822857142855</v>
      </c>
      <c r="F66" s="57">
        <f>SUM(F32*12)-(F53*52)</f>
        <v>8573.68</v>
      </c>
      <c r="G66" s="57">
        <f>SUM(G32*12)-(G53*52)</f>
        <v>8330.24</v>
      </c>
    </row>
    <row r="67" spans="1:7" s="9" customFormat="1" ht="16.95" customHeight="1" x14ac:dyDescent="0.35">
      <c r="A67" s="11" t="s">
        <v>23</v>
      </c>
      <c r="B67" s="18"/>
      <c r="C67" s="57">
        <f>SUM((C33*12)+$D$40)-(C54*52)</f>
        <v>8607.6628571428591</v>
      </c>
      <c r="D67" s="57"/>
      <c r="E67" s="57">
        <f>SUM((E33*12)+$D$40)-(E54*52)</f>
        <v>10303.262857142858</v>
      </c>
      <c r="F67" s="57">
        <f>SUM(F33*12)-(F54*52)</f>
        <v>8026.119999999999</v>
      </c>
      <c r="G67" s="57">
        <f>SUM(G33*12)-(G54*52)</f>
        <v>7918.6399999999994</v>
      </c>
    </row>
    <row r="68" spans="1:7" s="9" customFormat="1" ht="16.95" customHeight="1" thickBot="1" x14ac:dyDescent="0.4">
      <c r="A68" s="19" t="s">
        <v>24</v>
      </c>
      <c r="B68" s="20"/>
      <c r="C68" s="60">
        <f>SUM((C34*12)+$D$40)-(C55*52)</f>
        <v>11876.542857142857</v>
      </c>
      <c r="D68" s="60"/>
      <c r="E68" s="60">
        <f>SUM((E34*12)+$D$40)-(E55*52)</f>
        <v>14170.462857142855</v>
      </c>
      <c r="F68" s="60">
        <f>SUM(F34*12)-(F55*52)</f>
        <v>12309.32</v>
      </c>
      <c r="G68" s="60">
        <f>SUM(G34*12)-(G55*52)</f>
        <v>11533.16</v>
      </c>
    </row>
    <row r="69" spans="1:7" x14ac:dyDescent="0.3">
      <c r="A69" s="294"/>
      <c r="B69" s="294"/>
      <c r="C69" s="294"/>
      <c r="D69" s="294"/>
      <c r="E69" s="294"/>
    </row>
    <row r="70" spans="1:7" x14ac:dyDescent="0.3">
      <c r="A70" s="295"/>
      <c r="B70" s="295"/>
      <c r="C70" s="295"/>
      <c r="D70" s="295"/>
      <c r="E70" s="295"/>
    </row>
  </sheetData>
  <mergeCells count="3">
    <mergeCell ref="A36:C36"/>
    <mergeCell ref="A69:E69"/>
    <mergeCell ref="A70:E70"/>
  </mergeCells>
  <printOptions horizontalCentered="1" verticalCentered="1"/>
  <pageMargins left="0.2" right="0.2" top="0.25" bottom="0.25" header="0.3" footer="0.3"/>
  <pageSetup scale="67" orientation="portrait" horizontalDpi="4294967294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298859-B6E3-4C3B-9301-3A8E555094C2}">
  <sheetPr>
    <pageSetUpPr fitToPage="1"/>
  </sheetPr>
  <dimension ref="B1:L66"/>
  <sheetViews>
    <sheetView topLeftCell="A47" zoomScale="80" zoomScaleNormal="80" workbookViewId="0">
      <selection activeCell="P18" sqref="P18"/>
    </sheetView>
  </sheetViews>
  <sheetFormatPr defaultColWidth="9.109375" defaultRowHeight="15.6" x14ac:dyDescent="0.3"/>
  <cols>
    <col min="1" max="1" width="3.109375" style="1" customWidth="1"/>
    <col min="2" max="2" width="40.5546875" style="1" customWidth="1"/>
    <col min="3" max="4" width="6.109375" style="1" customWidth="1"/>
    <col min="5" max="5" width="21.6640625" style="1" customWidth="1"/>
    <col min="6" max="6" width="9" style="1" customWidth="1"/>
    <col min="7" max="7" width="21" style="1" customWidth="1"/>
    <col min="8" max="8" width="9.33203125" style="1" customWidth="1"/>
    <col min="9" max="9" width="21.109375" style="1" customWidth="1"/>
    <col min="10" max="258" width="9.109375" style="1"/>
    <col min="259" max="259" width="40.5546875" style="1" customWidth="1"/>
    <col min="260" max="260" width="6.109375" style="1" customWidth="1"/>
    <col min="261" max="262" width="24.6640625" style="1" customWidth="1"/>
    <col min="263" max="263" width="27.6640625" style="1" customWidth="1"/>
    <col min="264" max="514" width="9.109375" style="1"/>
    <col min="515" max="515" width="40.5546875" style="1" customWidth="1"/>
    <col min="516" max="516" width="6.109375" style="1" customWidth="1"/>
    <col min="517" max="518" width="24.6640625" style="1" customWidth="1"/>
    <col min="519" max="519" width="27.6640625" style="1" customWidth="1"/>
    <col min="520" max="770" width="9.109375" style="1"/>
    <col min="771" max="771" width="40.5546875" style="1" customWidth="1"/>
    <col min="772" max="772" width="6.109375" style="1" customWidth="1"/>
    <col min="773" max="774" width="24.6640625" style="1" customWidth="1"/>
    <col min="775" max="775" width="27.6640625" style="1" customWidth="1"/>
    <col min="776" max="1026" width="9.109375" style="1"/>
    <col min="1027" max="1027" width="40.5546875" style="1" customWidth="1"/>
    <col min="1028" max="1028" width="6.109375" style="1" customWidth="1"/>
    <col min="1029" max="1030" width="24.6640625" style="1" customWidth="1"/>
    <col min="1031" max="1031" width="27.6640625" style="1" customWidth="1"/>
    <col min="1032" max="1282" width="9.109375" style="1"/>
    <col min="1283" max="1283" width="40.5546875" style="1" customWidth="1"/>
    <col min="1284" max="1284" width="6.109375" style="1" customWidth="1"/>
    <col min="1285" max="1286" width="24.6640625" style="1" customWidth="1"/>
    <col min="1287" max="1287" width="27.6640625" style="1" customWidth="1"/>
    <col min="1288" max="1538" width="9.109375" style="1"/>
    <col min="1539" max="1539" width="40.5546875" style="1" customWidth="1"/>
    <col min="1540" max="1540" width="6.109375" style="1" customWidth="1"/>
    <col min="1541" max="1542" width="24.6640625" style="1" customWidth="1"/>
    <col min="1543" max="1543" width="27.6640625" style="1" customWidth="1"/>
    <col min="1544" max="1794" width="9.109375" style="1"/>
    <col min="1795" max="1795" width="40.5546875" style="1" customWidth="1"/>
    <col min="1796" max="1796" width="6.109375" style="1" customWidth="1"/>
    <col min="1797" max="1798" width="24.6640625" style="1" customWidth="1"/>
    <col min="1799" max="1799" width="27.6640625" style="1" customWidth="1"/>
    <col min="1800" max="2050" width="9.109375" style="1"/>
    <col min="2051" max="2051" width="40.5546875" style="1" customWidth="1"/>
    <col min="2052" max="2052" width="6.109375" style="1" customWidth="1"/>
    <col min="2053" max="2054" width="24.6640625" style="1" customWidth="1"/>
    <col min="2055" max="2055" width="27.6640625" style="1" customWidth="1"/>
    <col min="2056" max="2306" width="9.109375" style="1"/>
    <col min="2307" max="2307" width="40.5546875" style="1" customWidth="1"/>
    <col min="2308" max="2308" width="6.109375" style="1" customWidth="1"/>
    <col min="2309" max="2310" width="24.6640625" style="1" customWidth="1"/>
    <col min="2311" max="2311" width="27.6640625" style="1" customWidth="1"/>
    <col min="2312" max="2562" width="9.109375" style="1"/>
    <col min="2563" max="2563" width="40.5546875" style="1" customWidth="1"/>
    <col min="2564" max="2564" width="6.109375" style="1" customWidth="1"/>
    <col min="2565" max="2566" width="24.6640625" style="1" customWidth="1"/>
    <col min="2567" max="2567" width="27.6640625" style="1" customWidth="1"/>
    <col min="2568" max="2818" width="9.109375" style="1"/>
    <col min="2819" max="2819" width="40.5546875" style="1" customWidth="1"/>
    <col min="2820" max="2820" width="6.109375" style="1" customWidth="1"/>
    <col min="2821" max="2822" width="24.6640625" style="1" customWidth="1"/>
    <col min="2823" max="2823" width="27.6640625" style="1" customWidth="1"/>
    <col min="2824" max="3074" width="9.109375" style="1"/>
    <col min="3075" max="3075" width="40.5546875" style="1" customWidth="1"/>
    <col min="3076" max="3076" width="6.109375" style="1" customWidth="1"/>
    <col min="3077" max="3078" width="24.6640625" style="1" customWidth="1"/>
    <col min="3079" max="3079" width="27.6640625" style="1" customWidth="1"/>
    <col min="3080" max="3330" width="9.109375" style="1"/>
    <col min="3331" max="3331" width="40.5546875" style="1" customWidth="1"/>
    <col min="3332" max="3332" width="6.109375" style="1" customWidth="1"/>
    <col min="3333" max="3334" width="24.6640625" style="1" customWidth="1"/>
    <col min="3335" max="3335" width="27.6640625" style="1" customWidth="1"/>
    <col min="3336" max="3586" width="9.109375" style="1"/>
    <col min="3587" max="3587" width="40.5546875" style="1" customWidth="1"/>
    <col min="3588" max="3588" width="6.109375" style="1" customWidth="1"/>
    <col min="3589" max="3590" width="24.6640625" style="1" customWidth="1"/>
    <col min="3591" max="3591" width="27.6640625" style="1" customWidth="1"/>
    <col min="3592" max="3842" width="9.109375" style="1"/>
    <col min="3843" max="3843" width="40.5546875" style="1" customWidth="1"/>
    <col min="3844" max="3844" width="6.109375" style="1" customWidth="1"/>
    <col min="3845" max="3846" width="24.6640625" style="1" customWidth="1"/>
    <col min="3847" max="3847" width="27.6640625" style="1" customWidth="1"/>
    <col min="3848" max="4098" width="9.109375" style="1"/>
    <col min="4099" max="4099" width="40.5546875" style="1" customWidth="1"/>
    <col min="4100" max="4100" width="6.109375" style="1" customWidth="1"/>
    <col min="4101" max="4102" width="24.6640625" style="1" customWidth="1"/>
    <col min="4103" max="4103" width="27.6640625" style="1" customWidth="1"/>
    <col min="4104" max="4354" width="9.109375" style="1"/>
    <col min="4355" max="4355" width="40.5546875" style="1" customWidth="1"/>
    <col min="4356" max="4356" width="6.109375" style="1" customWidth="1"/>
    <col min="4357" max="4358" width="24.6640625" style="1" customWidth="1"/>
    <col min="4359" max="4359" width="27.6640625" style="1" customWidth="1"/>
    <col min="4360" max="4610" width="9.109375" style="1"/>
    <col min="4611" max="4611" width="40.5546875" style="1" customWidth="1"/>
    <col min="4612" max="4612" width="6.109375" style="1" customWidth="1"/>
    <col min="4613" max="4614" width="24.6640625" style="1" customWidth="1"/>
    <col min="4615" max="4615" width="27.6640625" style="1" customWidth="1"/>
    <col min="4616" max="4866" width="9.109375" style="1"/>
    <col min="4867" max="4867" width="40.5546875" style="1" customWidth="1"/>
    <col min="4868" max="4868" width="6.109375" style="1" customWidth="1"/>
    <col min="4869" max="4870" width="24.6640625" style="1" customWidth="1"/>
    <col min="4871" max="4871" width="27.6640625" style="1" customWidth="1"/>
    <col min="4872" max="5122" width="9.109375" style="1"/>
    <col min="5123" max="5123" width="40.5546875" style="1" customWidth="1"/>
    <col min="5124" max="5124" width="6.109375" style="1" customWidth="1"/>
    <col min="5125" max="5126" width="24.6640625" style="1" customWidth="1"/>
    <col min="5127" max="5127" width="27.6640625" style="1" customWidth="1"/>
    <col min="5128" max="5378" width="9.109375" style="1"/>
    <col min="5379" max="5379" width="40.5546875" style="1" customWidth="1"/>
    <col min="5380" max="5380" width="6.109375" style="1" customWidth="1"/>
    <col min="5381" max="5382" width="24.6640625" style="1" customWidth="1"/>
    <col min="5383" max="5383" width="27.6640625" style="1" customWidth="1"/>
    <col min="5384" max="5634" width="9.109375" style="1"/>
    <col min="5635" max="5635" width="40.5546875" style="1" customWidth="1"/>
    <col min="5636" max="5636" width="6.109375" style="1" customWidth="1"/>
    <col min="5637" max="5638" width="24.6640625" style="1" customWidth="1"/>
    <col min="5639" max="5639" width="27.6640625" style="1" customWidth="1"/>
    <col min="5640" max="5890" width="9.109375" style="1"/>
    <col min="5891" max="5891" width="40.5546875" style="1" customWidth="1"/>
    <col min="5892" max="5892" width="6.109375" style="1" customWidth="1"/>
    <col min="5893" max="5894" width="24.6640625" style="1" customWidth="1"/>
    <col min="5895" max="5895" width="27.6640625" style="1" customWidth="1"/>
    <col min="5896" max="6146" width="9.109375" style="1"/>
    <col min="6147" max="6147" width="40.5546875" style="1" customWidth="1"/>
    <col min="6148" max="6148" width="6.109375" style="1" customWidth="1"/>
    <col min="6149" max="6150" width="24.6640625" style="1" customWidth="1"/>
    <col min="6151" max="6151" width="27.6640625" style="1" customWidth="1"/>
    <col min="6152" max="6402" width="9.109375" style="1"/>
    <col min="6403" max="6403" width="40.5546875" style="1" customWidth="1"/>
    <col min="6404" max="6404" width="6.109375" style="1" customWidth="1"/>
    <col min="6405" max="6406" width="24.6640625" style="1" customWidth="1"/>
    <col min="6407" max="6407" width="27.6640625" style="1" customWidth="1"/>
    <col min="6408" max="6658" width="9.109375" style="1"/>
    <col min="6659" max="6659" width="40.5546875" style="1" customWidth="1"/>
    <col min="6660" max="6660" width="6.109375" style="1" customWidth="1"/>
    <col min="6661" max="6662" width="24.6640625" style="1" customWidth="1"/>
    <col min="6663" max="6663" width="27.6640625" style="1" customWidth="1"/>
    <col min="6664" max="6914" width="9.109375" style="1"/>
    <col min="6915" max="6915" width="40.5546875" style="1" customWidth="1"/>
    <col min="6916" max="6916" width="6.109375" style="1" customWidth="1"/>
    <col min="6917" max="6918" width="24.6640625" style="1" customWidth="1"/>
    <col min="6919" max="6919" width="27.6640625" style="1" customWidth="1"/>
    <col min="6920" max="7170" width="9.109375" style="1"/>
    <col min="7171" max="7171" width="40.5546875" style="1" customWidth="1"/>
    <col min="7172" max="7172" width="6.109375" style="1" customWidth="1"/>
    <col min="7173" max="7174" width="24.6640625" style="1" customWidth="1"/>
    <col min="7175" max="7175" width="27.6640625" style="1" customWidth="1"/>
    <col min="7176" max="7426" width="9.109375" style="1"/>
    <col min="7427" max="7427" width="40.5546875" style="1" customWidth="1"/>
    <col min="7428" max="7428" width="6.109375" style="1" customWidth="1"/>
    <col min="7429" max="7430" width="24.6640625" style="1" customWidth="1"/>
    <col min="7431" max="7431" width="27.6640625" style="1" customWidth="1"/>
    <col min="7432" max="7682" width="9.109375" style="1"/>
    <col min="7683" max="7683" width="40.5546875" style="1" customWidth="1"/>
    <col min="7684" max="7684" width="6.109375" style="1" customWidth="1"/>
    <col min="7685" max="7686" width="24.6640625" style="1" customWidth="1"/>
    <col min="7687" max="7687" width="27.6640625" style="1" customWidth="1"/>
    <col min="7688" max="7938" width="9.109375" style="1"/>
    <col min="7939" max="7939" width="40.5546875" style="1" customWidth="1"/>
    <col min="7940" max="7940" width="6.109375" style="1" customWidth="1"/>
    <col min="7941" max="7942" width="24.6640625" style="1" customWidth="1"/>
    <col min="7943" max="7943" width="27.6640625" style="1" customWidth="1"/>
    <col min="7944" max="8194" width="9.109375" style="1"/>
    <col min="8195" max="8195" width="40.5546875" style="1" customWidth="1"/>
    <col min="8196" max="8196" width="6.109375" style="1" customWidth="1"/>
    <col min="8197" max="8198" width="24.6640625" style="1" customWidth="1"/>
    <col min="8199" max="8199" width="27.6640625" style="1" customWidth="1"/>
    <col min="8200" max="8450" width="9.109375" style="1"/>
    <col min="8451" max="8451" width="40.5546875" style="1" customWidth="1"/>
    <col min="8452" max="8452" width="6.109375" style="1" customWidth="1"/>
    <col min="8453" max="8454" width="24.6640625" style="1" customWidth="1"/>
    <col min="8455" max="8455" width="27.6640625" style="1" customWidth="1"/>
    <col min="8456" max="8706" width="9.109375" style="1"/>
    <col min="8707" max="8707" width="40.5546875" style="1" customWidth="1"/>
    <col min="8708" max="8708" width="6.109375" style="1" customWidth="1"/>
    <col min="8709" max="8710" width="24.6640625" style="1" customWidth="1"/>
    <col min="8711" max="8711" width="27.6640625" style="1" customWidth="1"/>
    <col min="8712" max="8962" width="9.109375" style="1"/>
    <col min="8963" max="8963" width="40.5546875" style="1" customWidth="1"/>
    <col min="8964" max="8964" width="6.109375" style="1" customWidth="1"/>
    <col min="8965" max="8966" width="24.6640625" style="1" customWidth="1"/>
    <col min="8967" max="8967" width="27.6640625" style="1" customWidth="1"/>
    <col min="8968" max="9218" width="9.109375" style="1"/>
    <col min="9219" max="9219" width="40.5546875" style="1" customWidth="1"/>
    <col min="9220" max="9220" width="6.109375" style="1" customWidth="1"/>
    <col min="9221" max="9222" width="24.6640625" style="1" customWidth="1"/>
    <col min="9223" max="9223" width="27.6640625" style="1" customWidth="1"/>
    <col min="9224" max="9474" width="9.109375" style="1"/>
    <col min="9475" max="9475" width="40.5546875" style="1" customWidth="1"/>
    <col min="9476" max="9476" width="6.109375" style="1" customWidth="1"/>
    <col min="9477" max="9478" width="24.6640625" style="1" customWidth="1"/>
    <col min="9479" max="9479" width="27.6640625" style="1" customWidth="1"/>
    <col min="9480" max="9730" width="9.109375" style="1"/>
    <col min="9731" max="9731" width="40.5546875" style="1" customWidth="1"/>
    <col min="9732" max="9732" width="6.109375" style="1" customWidth="1"/>
    <col min="9733" max="9734" width="24.6640625" style="1" customWidth="1"/>
    <col min="9735" max="9735" width="27.6640625" style="1" customWidth="1"/>
    <col min="9736" max="9986" width="9.109375" style="1"/>
    <col min="9987" max="9987" width="40.5546875" style="1" customWidth="1"/>
    <col min="9988" max="9988" width="6.109375" style="1" customWidth="1"/>
    <col min="9989" max="9990" width="24.6640625" style="1" customWidth="1"/>
    <col min="9991" max="9991" width="27.6640625" style="1" customWidth="1"/>
    <col min="9992" max="10242" width="9.109375" style="1"/>
    <col min="10243" max="10243" width="40.5546875" style="1" customWidth="1"/>
    <col min="10244" max="10244" width="6.109375" style="1" customWidth="1"/>
    <col min="10245" max="10246" width="24.6640625" style="1" customWidth="1"/>
    <col min="10247" max="10247" width="27.6640625" style="1" customWidth="1"/>
    <col min="10248" max="10498" width="9.109375" style="1"/>
    <col min="10499" max="10499" width="40.5546875" style="1" customWidth="1"/>
    <col min="10500" max="10500" width="6.109375" style="1" customWidth="1"/>
    <col min="10501" max="10502" width="24.6640625" style="1" customWidth="1"/>
    <col min="10503" max="10503" width="27.6640625" style="1" customWidth="1"/>
    <col min="10504" max="10754" width="9.109375" style="1"/>
    <col min="10755" max="10755" width="40.5546875" style="1" customWidth="1"/>
    <col min="10756" max="10756" width="6.109375" style="1" customWidth="1"/>
    <col min="10757" max="10758" width="24.6640625" style="1" customWidth="1"/>
    <col min="10759" max="10759" width="27.6640625" style="1" customWidth="1"/>
    <col min="10760" max="11010" width="9.109375" style="1"/>
    <col min="11011" max="11011" width="40.5546875" style="1" customWidth="1"/>
    <col min="11012" max="11012" width="6.109375" style="1" customWidth="1"/>
    <col min="11013" max="11014" width="24.6640625" style="1" customWidth="1"/>
    <col min="11015" max="11015" width="27.6640625" style="1" customWidth="1"/>
    <col min="11016" max="11266" width="9.109375" style="1"/>
    <col min="11267" max="11267" width="40.5546875" style="1" customWidth="1"/>
    <col min="11268" max="11268" width="6.109375" style="1" customWidth="1"/>
    <col min="11269" max="11270" width="24.6640625" style="1" customWidth="1"/>
    <col min="11271" max="11271" width="27.6640625" style="1" customWidth="1"/>
    <col min="11272" max="11522" width="9.109375" style="1"/>
    <col min="11523" max="11523" width="40.5546875" style="1" customWidth="1"/>
    <col min="11524" max="11524" width="6.109375" style="1" customWidth="1"/>
    <col min="11525" max="11526" width="24.6640625" style="1" customWidth="1"/>
    <col min="11527" max="11527" width="27.6640625" style="1" customWidth="1"/>
    <col min="11528" max="11778" width="9.109375" style="1"/>
    <col min="11779" max="11779" width="40.5546875" style="1" customWidth="1"/>
    <col min="11780" max="11780" width="6.109375" style="1" customWidth="1"/>
    <col min="11781" max="11782" width="24.6640625" style="1" customWidth="1"/>
    <col min="11783" max="11783" width="27.6640625" style="1" customWidth="1"/>
    <col min="11784" max="12034" width="9.109375" style="1"/>
    <col min="12035" max="12035" width="40.5546875" style="1" customWidth="1"/>
    <col min="12036" max="12036" width="6.109375" style="1" customWidth="1"/>
    <col min="12037" max="12038" width="24.6640625" style="1" customWidth="1"/>
    <col min="12039" max="12039" width="27.6640625" style="1" customWidth="1"/>
    <col min="12040" max="12290" width="9.109375" style="1"/>
    <col min="12291" max="12291" width="40.5546875" style="1" customWidth="1"/>
    <col min="12292" max="12292" width="6.109375" style="1" customWidth="1"/>
    <col min="12293" max="12294" width="24.6640625" style="1" customWidth="1"/>
    <col min="12295" max="12295" width="27.6640625" style="1" customWidth="1"/>
    <col min="12296" max="12546" width="9.109375" style="1"/>
    <col min="12547" max="12547" width="40.5546875" style="1" customWidth="1"/>
    <col min="12548" max="12548" width="6.109375" style="1" customWidth="1"/>
    <col min="12549" max="12550" width="24.6640625" style="1" customWidth="1"/>
    <col min="12551" max="12551" width="27.6640625" style="1" customWidth="1"/>
    <col min="12552" max="12802" width="9.109375" style="1"/>
    <col min="12803" max="12803" width="40.5546875" style="1" customWidth="1"/>
    <col min="12804" max="12804" width="6.109375" style="1" customWidth="1"/>
    <col min="12805" max="12806" width="24.6640625" style="1" customWidth="1"/>
    <col min="12807" max="12807" width="27.6640625" style="1" customWidth="1"/>
    <col min="12808" max="13058" width="9.109375" style="1"/>
    <col min="13059" max="13059" width="40.5546875" style="1" customWidth="1"/>
    <col min="13060" max="13060" width="6.109375" style="1" customWidth="1"/>
    <col min="13061" max="13062" width="24.6640625" style="1" customWidth="1"/>
    <col min="13063" max="13063" width="27.6640625" style="1" customWidth="1"/>
    <col min="13064" max="13314" width="9.109375" style="1"/>
    <col min="13315" max="13315" width="40.5546875" style="1" customWidth="1"/>
    <col min="13316" max="13316" width="6.109375" style="1" customWidth="1"/>
    <col min="13317" max="13318" width="24.6640625" style="1" customWidth="1"/>
    <col min="13319" max="13319" width="27.6640625" style="1" customWidth="1"/>
    <col min="13320" max="13570" width="9.109375" style="1"/>
    <col min="13571" max="13571" width="40.5546875" style="1" customWidth="1"/>
    <col min="13572" max="13572" width="6.109375" style="1" customWidth="1"/>
    <col min="13573" max="13574" width="24.6640625" style="1" customWidth="1"/>
    <col min="13575" max="13575" width="27.6640625" style="1" customWidth="1"/>
    <col min="13576" max="13826" width="9.109375" style="1"/>
    <col min="13827" max="13827" width="40.5546875" style="1" customWidth="1"/>
    <col min="13828" max="13828" width="6.109375" style="1" customWidth="1"/>
    <col min="13829" max="13830" width="24.6640625" style="1" customWidth="1"/>
    <col min="13831" max="13831" width="27.6640625" style="1" customWidth="1"/>
    <col min="13832" max="14082" width="9.109375" style="1"/>
    <col min="14083" max="14083" width="40.5546875" style="1" customWidth="1"/>
    <col min="14084" max="14084" width="6.109375" style="1" customWidth="1"/>
    <col min="14085" max="14086" width="24.6640625" style="1" customWidth="1"/>
    <col min="14087" max="14087" width="27.6640625" style="1" customWidth="1"/>
    <col min="14088" max="14338" width="9.109375" style="1"/>
    <col min="14339" max="14339" width="40.5546875" style="1" customWidth="1"/>
    <col min="14340" max="14340" width="6.109375" style="1" customWidth="1"/>
    <col min="14341" max="14342" width="24.6640625" style="1" customWidth="1"/>
    <col min="14343" max="14343" width="27.6640625" style="1" customWidth="1"/>
    <col min="14344" max="14594" width="9.109375" style="1"/>
    <col min="14595" max="14595" width="40.5546875" style="1" customWidth="1"/>
    <col min="14596" max="14596" width="6.109375" style="1" customWidth="1"/>
    <col min="14597" max="14598" width="24.6640625" style="1" customWidth="1"/>
    <col min="14599" max="14599" width="27.6640625" style="1" customWidth="1"/>
    <col min="14600" max="14850" width="9.109375" style="1"/>
    <col min="14851" max="14851" width="40.5546875" style="1" customWidth="1"/>
    <col min="14852" max="14852" width="6.109375" style="1" customWidth="1"/>
    <col min="14853" max="14854" width="24.6640625" style="1" customWidth="1"/>
    <col min="14855" max="14855" width="27.6640625" style="1" customWidth="1"/>
    <col min="14856" max="15106" width="9.109375" style="1"/>
    <col min="15107" max="15107" width="40.5546875" style="1" customWidth="1"/>
    <col min="15108" max="15108" width="6.109375" style="1" customWidth="1"/>
    <col min="15109" max="15110" width="24.6640625" style="1" customWidth="1"/>
    <col min="15111" max="15111" width="27.6640625" style="1" customWidth="1"/>
    <col min="15112" max="15362" width="9.109375" style="1"/>
    <col min="15363" max="15363" width="40.5546875" style="1" customWidth="1"/>
    <col min="15364" max="15364" width="6.109375" style="1" customWidth="1"/>
    <col min="15365" max="15366" width="24.6640625" style="1" customWidth="1"/>
    <col min="15367" max="15367" width="27.6640625" style="1" customWidth="1"/>
    <col min="15368" max="15618" width="9.109375" style="1"/>
    <col min="15619" max="15619" width="40.5546875" style="1" customWidth="1"/>
    <col min="15620" max="15620" width="6.109375" style="1" customWidth="1"/>
    <col min="15621" max="15622" width="24.6640625" style="1" customWidth="1"/>
    <col min="15623" max="15623" width="27.6640625" style="1" customWidth="1"/>
    <col min="15624" max="15874" width="9.109375" style="1"/>
    <col min="15875" max="15875" width="40.5546875" style="1" customWidth="1"/>
    <col min="15876" max="15876" width="6.109375" style="1" customWidth="1"/>
    <col min="15877" max="15878" width="24.6640625" style="1" customWidth="1"/>
    <col min="15879" max="15879" width="27.6640625" style="1" customWidth="1"/>
    <col min="15880" max="16130" width="9.109375" style="1"/>
    <col min="16131" max="16131" width="40.5546875" style="1" customWidth="1"/>
    <col min="16132" max="16132" width="6.109375" style="1" customWidth="1"/>
    <col min="16133" max="16134" width="24.6640625" style="1" customWidth="1"/>
    <col min="16135" max="16135" width="27.6640625" style="1" customWidth="1"/>
    <col min="16136" max="16384" width="9.109375" style="1"/>
  </cols>
  <sheetData>
    <row r="1" spans="2:9" ht="23.4" x14ac:dyDescent="0.45">
      <c r="B1" s="175" t="s">
        <v>111</v>
      </c>
      <c r="C1" s="3"/>
      <c r="D1" s="3"/>
      <c r="E1" s="3"/>
      <c r="F1" s="3"/>
      <c r="G1" s="24"/>
      <c r="H1" s="24"/>
      <c r="I1" s="24"/>
    </row>
    <row r="2" spans="2:9" ht="22.95" customHeight="1" x14ac:dyDescent="0.45">
      <c r="B2" s="8" t="s">
        <v>62</v>
      </c>
      <c r="C2" s="3"/>
      <c r="D2" s="3"/>
      <c r="E2" s="3"/>
      <c r="F2" s="3"/>
      <c r="G2" s="67"/>
      <c r="H2" s="67"/>
      <c r="I2" s="74"/>
    </row>
    <row r="3" spans="2:9" ht="16.95" customHeight="1" thickBot="1" x14ac:dyDescent="0.5">
      <c r="C3" s="3"/>
      <c r="D3" s="3"/>
      <c r="E3" s="6" t="s">
        <v>112</v>
      </c>
      <c r="F3" s="6"/>
      <c r="G3" s="7" t="s">
        <v>113</v>
      </c>
      <c r="H3" s="7"/>
      <c r="I3" s="7" t="s">
        <v>87</v>
      </c>
    </row>
    <row r="4" spans="2:9" ht="16.2" thickBot="1" x14ac:dyDescent="0.35">
      <c r="B4" s="2"/>
      <c r="C4" s="2"/>
      <c r="D4" s="2"/>
      <c r="E4" s="5" t="s">
        <v>26</v>
      </c>
      <c r="F4" s="5"/>
      <c r="G4" s="5" t="s">
        <v>26</v>
      </c>
      <c r="H4" s="5"/>
      <c r="I4" s="5" t="s">
        <v>26</v>
      </c>
    </row>
    <row r="5" spans="2:9" ht="18.600000000000001" thickBot="1" x14ac:dyDescent="0.35">
      <c r="B5" s="44" t="s">
        <v>0</v>
      </c>
      <c r="C5" s="45"/>
      <c r="D5" s="199"/>
      <c r="E5" s="61" t="s">
        <v>43</v>
      </c>
      <c r="F5" s="61"/>
      <c r="G5" s="61" t="s">
        <v>43</v>
      </c>
      <c r="H5" s="61"/>
      <c r="I5" s="61" t="s">
        <v>43</v>
      </c>
    </row>
    <row r="6" spans="2:9" ht="15.6" customHeight="1" x14ac:dyDescent="0.3">
      <c r="B6" s="42" t="s">
        <v>1</v>
      </c>
      <c r="C6" s="43"/>
      <c r="D6" s="43"/>
      <c r="E6" s="68" t="s">
        <v>41</v>
      </c>
      <c r="F6" s="68"/>
      <c r="G6" s="68"/>
      <c r="H6" s="68"/>
      <c r="I6" s="68" t="s">
        <v>117</v>
      </c>
    </row>
    <row r="7" spans="2:9" ht="15.6" customHeight="1" x14ac:dyDescent="0.3">
      <c r="B7" s="42" t="s">
        <v>6</v>
      </c>
      <c r="C7" s="43"/>
      <c r="D7" s="43"/>
      <c r="E7" s="69" t="s">
        <v>41</v>
      </c>
      <c r="F7" s="69"/>
      <c r="G7" s="69" t="s">
        <v>53</v>
      </c>
      <c r="H7" s="69"/>
      <c r="I7" s="69" t="s">
        <v>117</v>
      </c>
    </row>
    <row r="8" spans="2:9" ht="15.6" customHeight="1" x14ac:dyDescent="0.3">
      <c r="B8" s="42" t="s">
        <v>109</v>
      </c>
      <c r="C8" s="43"/>
      <c r="D8" s="43"/>
      <c r="E8" s="70" t="s">
        <v>5</v>
      </c>
      <c r="F8" s="70"/>
      <c r="G8" s="70"/>
      <c r="H8" s="70"/>
      <c r="I8" s="70"/>
    </row>
    <row r="9" spans="2:9" ht="15.6" customHeight="1" x14ac:dyDescent="0.3">
      <c r="B9" s="42" t="s">
        <v>7</v>
      </c>
      <c r="C9" s="43"/>
      <c r="D9" s="43"/>
      <c r="E9" s="69" t="s">
        <v>51</v>
      </c>
      <c r="F9" s="69"/>
      <c r="G9" s="69"/>
      <c r="H9" s="72"/>
      <c r="I9" s="72"/>
    </row>
    <row r="10" spans="2:9" ht="15.6" customHeight="1" x14ac:dyDescent="0.3">
      <c r="B10" s="42" t="s">
        <v>27</v>
      </c>
      <c r="C10" s="43"/>
      <c r="D10" s="43"/>
      <c r="E10" s="71">
        <v>2700</v>
      </c>
      <c r="F10" s="71"/>
      <c r="G10" s="71"/>
      <c r="H10" s="71"/>
      <c r="I10" s="71">
        <v>3000</v>
      </c>
    </row>
    <row r="11" spans="2:9" ht="15.6" customHeight="1" x14ac:dyDescent="0.3">
      <c r="B11" s="42" t="s">
        <v>44</v>
      </c>
      <c r="C11" s="43"/>
      <c r="D11" s="43"/>
      <c r="E11" s="71">
        <v>5400</v>
      </c>
      <c r="F11" s="71"/>
      <c r="G11" s="71"/>
      <c r="H11" s="71"/>
      <c r="I11" s="71">
        <v>6000</v>
      </c>
    </row>
    <row r="12" spans="2:9" ht="15.6" customHeight="1" x14ac:dyDescent="0.3">
      <c r="B12" s="42" t="s">
        <v>28</v>
      </c>
      <c r="C12" s="43"/>
      <c r="D12" s="43"/>
      <c r="E12" s="71">
        <v>5400</v>
      </c>
      <c r="F12" s="71"/>
      <c r="G12" s="71"/>
      <c r="H12" s="71"/>
      <c r="I12" s="71">
        <v>6000</v>
      </c>
    </row>
    <row r="13" spans="2:9" ht="15.6" customHeight="1" x14ac:dyDescent="0.3">
      <c r="B13" s="42" t="s">
        <v>9</v>
      </c>
      <c r="C13" s="43"/>
      <c r="D13" s="43"/>
      <c r="E13" s="26" t="s">
        <v>45</v>
      </c>
      <c r="F13" s="26"/>
      <c r="G13" s="26"/>
      <c r="H13" s="26"/>
      <c r="I13" s="26"/>
    </row>
    <row r="14" spans="2:9" ht="29.4" customHeight="1" thickBot="1" x14ac:dyDescent="0.35">
      <c r="B14" s="42" t="s">
        <v>10</v>
      </c>
      <c r="C14" s="43"/>
      <c r="D14" s="43"/>
      <c r="E14" s="27" t="s">
        <v>42</v>
      </c>
      <c r="F14" s="27"/>
      <c r="G14" s="27"/>
      <c r="H14" s="27"/>
      <c r="I14" s="27"/>
    </row>
    <row r="15" spans="2:9" ht="18.600000000000001" thickBot="1" x14ac:dyDescent="0.35">
      <c r="B15" s="44" t="s">
        <v>11</v>
      </c>
      <c r="C15" s="46"/>
      <c r="D15" s="46"/>
      <c r="E15" s="47"/>
      <c r="F15" s="47"/>
      <c r="G15" s="47"/>
      <c r="H15" s="47"/>
      <c r="I15" s="47"/>
    </row>
    <row r="16" spans="2:9" ht="15.6" customHeight="1" x14ac:dyDescent="0.3">
      <c r="B16" s="42" t="s">
        <v>12</v>
      </c>
      <c r="C16" s="43"/>
      <c r="D16" s="43"/>
      <c r="E16" s="28">
        <v>0</v>
      </c>
      <c r="F16" s="28"/>
      <c r="G16" s="28"/>
      <c r="H16" s="28"/>
      <c r="I16" s="28"/>
    </row>
    <row r="17" spans="2:12" ht="15.6" customHeight="1" x14ac:dyDescent="0.3">
      <c r="B17" s="42" t="s">
        <v>81</v>
      </c>
      <c r="C17" s="43"/>
      <c r="D17" s="43"/>
      <c r="E17" s="65" t="s">
        <v>47</v>
      </c>
      <c r="F17" s="65"/>
      <c r="G17" s="69"/>
      <c r="H17" s="69"/>
      <c r="I17" s="69"/>
    </row>
    <row r="18" spans="2:12" ht="15.6" customHeight="1" x14ac:dyDescent="0.3">
      <c r="B18" s="42" t="s">
        <v>13</v>
      </c>
      <c r="C18" s="43"/>
      <c r="D18" s="43"/>
      <c r="E18" s="65" t="s">
        <v>47</v>
      </c>
      <c r="F18" s="65"/>
      <c r="G18" s="65"/>
      <c r="H18" s="65"/>
      <c r="I18" s="65"/>
    </row>
    <row r="19" spans="2:12" ht="15.6" customHeight="1" x14ac:dyDescent="0.3">
      <c r="B19" s="42" t="s">
        <v>79</v>
      </c>
      <c r="C19" s="43"/>
      <c r="D19" s="43"/>
      <c r="E19" s="65" t="s">
        <v>47</v>
      </c>
      <c r="F19" s="65"/>
      <c r="G19" s="65"/>
      <c r="H19" s="65"/>
      <c r="I19" s="65"/>
    </row>
    <row r="20" spans="2:12" ht="15.6" customHeight="1" x14ac:dyDescent="0.3">
      <c r="B20" s="42" t="s">
        <v>108</v>
      </c>
      <c r="C20" s="43"/>
      <c r="D20" s="43"/>
      <c r="E20" s="65" t="s">
        <v>47</v>
      </c>
      <c r="F20" s="65"/>
      <c r="G20" s="65"/>
      <c r="H20" s="65"/>
      <c r="I20" s="65"/>
    </row>
    <row r="21" spans="2:12" ht="16.95" customHeight="1" thickBot="1" x14ac:dyDescent="0.35">
      <c r="B21" s="42" t="s">
        <v>106</v>
      </c>
      <c r="C21" s="43"/>
      <c r="D21" s="43"/>
      <c r="E21" s="41" t="s">
        <v>107</v>
      </c>
      <c r="F21" s="41"/>
      <c r="G21" s="41"/>
      <c r="H21" s="41"/>
      <c r="I21" s="41"/>
    </row>
    <row r="22" spans="2:12" hidden="1" x14ac:dyDescent="0.3">
      <c r="B22" s="29" t="s">
        <v>16</v>
      </c>
      <c r="C22" s="30"/>
      <c r="D22" s="30"/>
      <c r="E22" s="65" t="s">
        <v>25</v>
      </c>
      <c r="F22" s="65"/>
      <c r="G22" s="65" t="s">
        <v>25</v>
      </c>
      <c r="H22" s="65"/>
      <c r="I22" s="65" t="s">
        <v>25</v>
      </c>
    </row>
    <row r="23" spans="2:12" hidden="1" x14ac:dyDescent="0.3">
      <c r="B23" s="31" t="s">
        <v>17</v>
      </c>
      <c r="C23" s="25"/>
      <c r="D23" s="25"/>
      <c r="E23" s="65" t="s">
        <v>25</v>
      </c>
      <c r="F23" s="65"/>
      <c r="G23" s="65" t="s">
        <v>25</v>
      </c>
      <c r="H23" s="65"/>
      <c r="I23" s="65" t="s">
        <v>25</v>
      </c>
    </row>
    <row r="24" spans="2:12" hidden="1" x14ac:dyDescent="0.3">
      <c r="B24" s="31" t="s">
        <v>18</v>
      </c>
      <c r="C24" s="25"/>
      <c r="D24" s="25"/>
      <c r="E24" s="65" t="s">
        <v>25</v>
      </c>
      <c r="F24" s="65"/>
      <c r="G24" s="65" t="s">
        <v>25</v>
      </c>
      <c r="H24" s="65"/>
      <c r="I24" s="65" t="s">
        <v>25</v>
      </c>
    </row>
    <row r="25" spans="2:12" hidden="1" x14ac:dyDescent="0.3">
      <c r="B25" s="31" t="s">
        <v>19</v>
      </c>
      <c r="C25" s="25"/>
      <c r="D25" s="25"/>
      <c r="E25" s="65" t="s">
        <v>25</v>
      </c>
      <c r="F25" s="65"/>
      <c r="G25" s="65" t="s">
        <v>25</v>
      </c>
      <c r="H25" s="65"/>
      <c r="I25" s="65" t="s">
        <v>25</v>
      </c>
    </row>
    <row r="26" spans="2:12" ht="22.95" customHeight="1" thickBot="1" x14ac:dyDescent="0.45">
      <c r="B26" s="135" t="s">
        <v>38</v>
      </c>
      <c r="C26" s="32"/>
      <c r="D26" s="32"/>
      <c r="E26" s="32"/>
      <c r="F26" s="32"/>
      <c r="G26" s="32"/>
      <c r="H26" s="32"/>
      <c r="I26" s="32"/>
    </row>
    <row r="27" spans="2:12" s="9" customFormat="1" ht="16.95" customHeight="1" thickTop="1" x14ac:dyDescent="0.35">
      <c r="B27" s="35" t="s">
        <v>21</v>
      </c>
      <c r="C27" s="36">
        <v>15</v>
      </c>
      <c r="D27" s="200"/>
      <c r="E27" s="48">
        <f>SUM(651.82+17.5)</f>
        <v>669.32</v>
      </c>
      <c r="F27" s="48"/>
      <c r="G27" s="48">
        <f>SUM(651.82+17.5)</f>
        <v>669.32</v>
      </c>
      <c r="H27" s="48"/>
      <c r="I27" s="75">
        <v>0</v>
      </c>
      <c r="L27" s="139"/>
    </row>
    <row r="28" spans="2:12" s="9" customFormat="1" ht="16.95" customHeight="1" x14ac:dyDescent="0.35">
      <c r="B28" s="37" t="s">
        <v>22</v>
      </c>
      <c r="C28" s="33">
        <v>2</v>
      </c>
      <c r="D28" s="201"/>
      <c r="E28" s="49">
        <f>SUM(1303.64+17.5)</f>
        <v>1321.14</v>
      </c>
      <c r="F28" s="49"/>
      <c r="G28" s="49">
        <f>SUM(1303.64+17.5)</f>
        <v>1321.14</v>
      </c>
      <c r="H28" s="49"/>
      <c r="I28" s="76"/>
    </row>
    <row r="29" spans="2:12" s="9" customFormat="1" ht="16.95" customHeight="1" x14ac:dyDescent="0.35">
      <c r="B29" s="37" t="s">
        <v>23</v>
      </c>
      <c r="C29" s="33">
        <v>1</v>
      </c>
      <c r="D29" s="201"/>
      <c r="E29" s="49">
        <f>SUM(1258.01+17.5)</f>
        <v>1275.51</v>
      </c>
      <c r="F29" s="49"/>
      <c r="G29" s="49">
        <f>SUM(1258.01+17.5)</f>
        <v>1275.51</v>
      </c>
      <c r="H29" s="49"/>
      <c r="I29" s="76"/>
    </row>
    <row r="30" spans="2:12" s="9" customFormat="1" ht="16.95" customHeight="1" x14ac:dyDescent="0.35">
      <c r="B30" s="37" t="s">
        <v>24</v>
      </c>
      <c r="C30" s="34">
        <v>2</v>
      </c>
      <c r="D30" s="202"/>
      <c r="E30" s="50">
        <f>SUM(1831.61+17.5)</f>
        <v>1849.11</v>
      </c>
      <c r="F30" s="50"/>
      <c r="G30" s="50">
        <f>SUM(1831.61+17.5)</f>
        <v>1849.11</v>
      </c>
      <c r="H30" s="50"/>
      <c r="I30" s="77"/>
    </row>
    <row r="31" spans="2:12" s="12" customFormat="1" ht="21.6" thickBot="1" x14ac:dyDescent="0.45">
      <c r="B31" s="38" t="s">
        <v>31</v>
      </c>
      <c r="C31" s="39">
        <f>SUM(C27:C30)</f>
        <v>20</v>
      </c>
      <c r="D31" s="39"/>
      <c r="E31" s="40">
        <f>SUM(($C$27*E27)+($C$28*E28)+($C$29*E29)+($C$30*E30))*12</f>
        <v>211869.72000000003</v>
      </c>
      <c r="F31" s="51"/>
      <c r="G31" s="51">
        <f>SUM(($C$27*G27)+($C$28*G28)+($C$29*G29)+($C$30*G30))*12</f>
        <v>211869.72000000003</v>
      </c>
      <c r="H31" s="51"/>
      <c r="I31" s="78">
        <f>SUM(($C$27*I27)+($C$28*I28)+($C$29*I29)+($C$30*I30))*12</f>
        <v>0</v>
      </c>
    </row>
    <row r="32" spans="2:12" s="12" customFormat="1" ht="16.95" customHeight="1" thickTop="1" x14ac:dyDescent="0.4">
      <c r="B32" s="293" t="s">
        <v>39</v>
      </c>
      <c r="C32" s="293"/>
      <c r="D32" s="293"/>
      <c r="E32" s="293"/>
      <c r="F32" s="164"/>
      <c r="G32" s="140">
        <f>SUM(G31-$E$31)</f>
        <v>0</v>
      </c>
      <c r="H32" s="140"/>
      <c r="I32" s="140">
        <f>SUM(I31-$E$31)</f>
        <v>-211869.72000000003</v>
      </c>
    </row>
    <row r="33" spans="2:10" customFormat="1" ht="14.4" customHeight="1" x14ac:dyDescent="0.35">
      <c r="B33" s="141" t="s">
        <v>118</v>
      </c>
      <c r="C33" s="18"/>
      <c r="D33" s="18"/>
      <c r="E33" s="18"/>
      <c r="F33" s="297" t="s">
        <v>104</v>
      </c>
      <c r="G33" s="63">
        <f>SUM(G32/$E$31)</f>
        <v>0</v>
      </c>
      <c r="H33" s="63"/>
      <c r="I33" s="63">
        <f>SUM(I32/$E$31)</f>
        <v>-1</v>
      </c>
    </row>
    <row r="34" spans="2:10" customFormat="1" ht="26.4" customHeight="1" x14ac:dyDescent="0.4">
      <c r="B34" s="13" t="s">
        <v>36</v>
      </c>
      <c r="C34" s="64"/>
      <c r="D34" s="64"/>
      <c r="E34" s="64"/>
      <c r="F34" s="297"/>
      <c r="G34" s="4"/>
      <c r="H34" s="4"/>
      <c r="I34" s="4"/>
    </row>
    <row r="35" spans="2:10" ht="16.2" customHeight="1" x14ac:dyDescent="0.35">
      <c r="B35" s="153" t="s">
        <v>33</v>
      </c>
      <c r="C35" s="154"/>
      <c r="D35" s="154"/>
      <c r="E35" s="155">
        <f>SUM(E10)</f>
        <v>2700</v>
      </c>
      <c r="F35" s="183">
        <f>SUM(E35*$F$38)</f>
        <v>2440</v>
      </c>
      <c r="G35" s="16">
        <v>0</v>
      </c>
      <c r="H35" s="16"/>
      <c r="I35" s="16">
        <v>0</v>
      </c>
    </row>
    <row r="36" spans="2:10" ht="16.2" customHeight="1" x14ac:dyDescent="0.35">
      <c r="B36" s="153" t="s">
        <v>34</v>
      </c>
      <c r="C36" s="154"/>
      <c r="D36" s="154"/>
      <c r="E36" s="156">
        <f>SUM(E12)</f>
        <v>5400</v>
      </c>
      <c r="F36" s="183">
        <f>SUM(E36*$F$38)</f>
        <v>4880</v>
      </c>
      <c r="G36" s="17">
        <v>0</v>
      </c>
      <c r="H36" s="17"/>
      <c r="I36" s="17">
        <v>0</v>
      </c>
    </row>
    <row r="37" spans="2:10" s="9" customFormat="1" ht="16.95" customHeight="1" x14ac:dyDescent="0.35">
      <c r="B37" s="14" t="s">
        <v>35</v>
      </c>
      <c r="C37" s="15"/>
      <c r="D37" s="15"/>
      <c r="E37" s="16">
        <f>SUM(($C27*E10)+($C28*E12)+(C29*E12)+($C30*E12))</f>
        <v>67500</v>
      </c>
      <c r="F37" s="184"/>
      <c r="G37" s="16">
        <f>SUM(($C27*G10)+($C28*G12)+(C29*G12)+($C30*G12))</f>
        <v>0</v>
      </c>
      <c r="H37" s="16"/>
      <c r="I37" s="16">
        <v>0</v>
      </c>
    </row>
    <row r="38" spans="2:10" s="9" customFormat="1" ht="16.95" customHeight="1" x14ac:dyDescent="0.35">
      <c r="B38" s="14" t="s">
        <v>103</v>
      </c>
      <c r="C38" s="15"/>
      <c r="D38" s="15"/>
      <c r="E38" s="16">
        <v>61000</v>
      </c>
      <c r="F38" s="185">
        <f>SUM(E38/E37)</f>
        <v>0.90370370370370368</v>
      </c>
      <c r="G38" s="16">
        <v>61000</v>
      </c>
      <c r="H38" s="16"/>
      <c r="I38" s="16">
        <v>0</v>
      </c>
    </row>
    <row r="39" spans="2:10" s="9" customFormat="1" ht="16.95" customHeight="1" x14ac:dyDescent="0.35">
      <c r="B39" s="14" t="s">
        <v>52</v>
      </c>
      <c r="C39" s="15"/>
      <c r="D39" s="15"/>
      <c r="E39" s="16">
        <v>0</v>
      </c>
      <c r="F39" s="16"/>
      <c r="G39" s="16">
        <v>0</v>
      </c>
      <c r="H39" s="16"/>
      <c r="I39" s="16">
        <v>0</v>
      </c>
    </row>
    <row r="40" spans="2:10" s="9" customFormat="1" ht="16.95" customHeight="1" x14ac:dyDescent="0.35">
      <c r="B40" s="157" t="s">
        <v>83</v>
      </c>
      <c r="C40" s="158"/>
      <c r="D40" s="158"/>
      <c r="E40" s="159">
        <f>SUM(E31+E38+E39)</f>
        <v>272869.72000000003</v>
      </c>
      <c r="F40" s="159"/>
      <c r="G40" s="159">
        <f>SUM(G31+G38+G39)</f>
        <v>272869.72000000003</v>
      </c>
      <c r="H40" s="159"/>
      <c r="I40" s="159">
        <f>SUM(I31+I38+I39)</f>
        <v>0</v>
      </c>
    </row>
    <row r="41" spans="2:10" s="9" customFormat="1" ht="10.199999999999999" customHeight="1" x14ac:dyDescent="0.35">
      <c r="B41" s="145"/>
      <c r="C41" s="146"/>
      <c r="D41" s="146"/>
      <c r="E41" s="147"/>
      <c r="F41" s="147"/>
      <c r="G41" s="147"/>
      <c r="H41" s="147"/>
      <c r="I41" s="147"/>
      <c r="J41" s="148"/>
    </row>
    <row r="42" spans="2:10" s="9" customFormat="1" ht="16.95" customHeight="1" x14ac:dyDescent="0.35">
      <c r="B42" s="143" t="s">
        <v>30</v>
      </c>
      <c r="C42" s="142"/>
      <c r="D42" s="142"/>
      <c r="E42" s="144">
        <f>SUM(E31-E52)</f>
        <v>78489.72000000003</v>
      </c>
      <c r="F42" s="144"/>
      <c r="G42" s="144">
        <f>SUM(G31-G52)</f>
        <v>134389.72000000003</v>
      </c>
      <c r="H42" s="144"/>
      <c r="I42" s="144">
        <f>SUM(I31-I52)</f>
        <v>-77480</v>
      </c>
    </row>
    <row r="43" spans="2:10" s="56" customFormat="1" ht="18" customHeight="1" x14ac:dyDescent="0.3">
      <c r="B43" s="53" t="s">
        <v>82</v>
      </c>
      <c r="C43" s="54"/>
      <c r="D43" s="54"/>
      <c r="E43" s="55">
        <f>SUM(E38+E42)+E39</f>
        <v>139489.72000000003</v>
      </c>
      <c r="F43" s="55"/>
      <c r="G43" s="55">
        <f>SUM(G38+G42)+G39</f>
        <v>195389.72000000003</v>
      </c>
      <c r="H43" s="55"/>
      <c r="I43" s="55">
        <f>SUM(I38+I42)+I39</f>
        <v>-77480</v>
      </c>
    </row>
    <row r="44" spans="2:10" ht="15.6" customHeight="1" x14ac:dyDescent="0.4">
      <c r="B44" s="150" t="s">
        <v>40</v>
      </c>
      <c r="C44" s="151"/>
      <c r="D44" s="151"/>
      <c r="E44" s="152"/>
      <c r="F44" s="152"/>
      <c r="G44" s="144">
        <f>SUM(G43-$E$43)</f>
        <v>55900</v>
      </c>
      <c r="H44" s="144"/>
      <c r="I44" s="144">
        <f>SUM(I43-$E$43)</f>
        <v>-216969.72000000003</v>
      </c>
    </row>
    <row r="45" spans="2:10" ht="11.4" customHeight="1" x14ac:dyDescent="0.4">
      <c r="B45" s="160"/>
      <c r="C45" s="151"/>
      <c r="D45" s="151"/>
      <c r="E45" s="152"/>
      <c r="F45" s="152"/>
      <c r="G45" s="198">
        <f>SUM(G44/$E$43)</f>
        <v>0.40074637758251996</v>
      </c>
      <c r="H45" s="198"/>
      <c r="I45" s="198">
        <f>SUM(I44/$E$43)</f>
        <v>-1.5554531186957719</v>
      </c>
    </row>
    <row r="46" spans="2:10" s="56" customFormat="1" ht="15.6" customHeight="1" x14ac:dyDescent="0.3">
      <c r="B46" s="162" t="s">
        <v>84</v>
      </c>
      <c r="C46" s="163"/>
      <c r="D46" s="163"/>
      <c r="E46" s="161">
        <f>SUM(E43/E40)</f>
        <v>0.51119530595040008</v>
      </c>
      <c r="F46" s="161"/>
      <c r="G46" s="161">
        <f t="shared" ref="G46" si="0">SUM(G43/G40)</f>
        <v>0.716054973047211</v>
      </c>
      <c r="H46" s="161"/>
      <c r="I46" s="161" t="e">
        <f>SUM(I43/I40)</f>
        <v>#DIV/0!</v>
      </c>
    </row>
    <row r="47" spans="2:10" ht="31.95" customHeight="1" thickBot="1" x14ac:dyDescent="0.4">
      <c r="B47" s="23" t="s">
        <v>32</v>
      </c>
      <c r="C47" s="203" t="s">
        <v>114</v>
      </c>
      <c r="D47" s="204" t="s">
        <v>115</v>
      </c>
      <c r="F47" s="187" t="s">
        <v>105</v>
      </c>
      <c r="G47" s="186" t="s">
        <v>110</v>
      </c>
      <c r="H47" s="187" t="s">
        <v>105</v>
      </c>
      <c r="I47" s="186" t="s">
        <v>116</v>
      </c>
      <c r="J47" s="187" t="s">
        <v>105</v>
      </c>
    </row>
    <row r="48" spans="2:10" s="9" customFormat="1" ht="16.95" customHeight="1" x14ac:dyDescent="0.35">
      <c r="B48" s="10" t="s">
        <v>21</v>
      </c>
      <c r="C48" s="21">
        <v>15</v>
      </c>
      <c r="D48" s="21">
        <v>3</v>
      </c>
      <c r="E48" s="59">
        <v>95</v>
      </c>
      <c r="F48" s="188">
        <f>SUM(E48*52)</f>
        <v>4940</v>
      </c>
      <c r="G48" s="59">
        <v>50</v>
      </c>
      <c r="H48" s="188">
        <f>SUM(G48*52)</f>
        <v>2600</v>
      </c>
      <c r="I48" s="59">
        <v>50</v>
      </c>
      <c r="J48" s="188">
        <f>SUM(I48*52)</f>
        <v>2600</v>
      </c>
    </row>
    <row r="49" spans="2:10" s="9" customFormat="1" ht="16.95" customHeight="1" x14ac:dyDescent="0.35">
      <c r="B49" s="11" t="s">
        <v>22</v>
      </c>
      <c r="C49" s="18">
        <v>2</v>
      </c>
      <c r="D49" s="18"/>
      <c r="E49" s="57">
        <v>200</v>
      </c>
      <c r="F49" s="189">
        <f t="shared" ref="F49:H51" si="1">SUM(E49*52)</f>
        <v>10400</v>
      </c>
      <c r="G49" s="57">
        <v>120</v>
      </c>
      <c r="H49" s="189">
        <f t="shared" si="1"/>
        <v>6240</v>
      </c>
      <c r="I49" s="57">
        <v>120</v>
      </c>
      <c r="J49" s="189">
        <f t="shared" ref="J49" si="2">SUM(I49*52)</f>
        <v>6240</v>
      </c>
    </row>
    <row r="50" spans="2:10" s="9" customFormat="1" ht="16.95" customHeight="1" x14ac:dyDescent="0.35">
      <c r="B50" s="11" t="s">
        <v>23</v>
      </c>
      <c r="C50" s="18">
        <v>1</v>
      </c>
      <c r="D50" s="18"/>
      <c r="E50" s="57">
        <v>200</v>
      </c>
      <c r="F50" s="189">
        <f t="shared" si="1"/>
        <v>10400</v>
      </c>
      <c r="G50" s="57">
        <v>120</v>
      </c>
      <c r="H50" s="189">
        <f t="shared" si="1"/>
        <v>6240</v>
      </c>
      <c r="I50" s="57">
        <v>120</v>
      </c>
      <c r="J50" s="189">
        <f t="shared" ref="J50" si="3">SUM(I50*52)</f>
        <v>6240</v>
      </c>
    </row>
    <row r="51" spans="2:10" s="9" customFormat="1" ht="16.95" customHeight="1" x14ac:dyDescent="0.35">
      <c r="B51" s="11" t="s">
        <v>24</v>
      </c>
      <c r="C51" s="22">
        <v>2</v>
      </c>
      <c r="D51" s="22"/>
      <c r="E51" s="58">
        <v>270</v>
      </c>
      <c r="F51" s="189">
        <f t="shared" si="1"/>
        <v>14040</v>
      </c>
      <c r="G51" s="58">
        <v>190</v>
      </c>
      <c r="H51" s="189">
        <f t="shared" si="1"/>
        <v>9880</v>
      </c>
      <c r="I51" s="58">
        <v>190</v>
      </c>
      <c r="J51" s="189">
        <f>SUM(I51*52)</f>
        <v>9880</v>
      </c>
    </row>
    <row r="52" spans="2:10" s="66" customFormat="1" ht="16.95" customHeight="1" thickBot="1" x14ac:dyDescent="0.35">
      <c r="B52" s="136" t="s">
        <v>29</v>
      </c>
      <c r="C52" s="137">
        <f>SUM(C48:C51)</f>
        <v>20</v>
      </c>
      <c r="D52" s="137">
        <f>SUM(D48:D51)</f>
        <v>3</v>
      </c>
      <c r="E52" s="138">
        <f>SUM(($C48*E48)+($C49*E49)+($C50*E50)+($C51*E51))*52</f>
        <v>133380</v>
      </c>
      <c r="F52" s="138"/>
      <c r="G52" s="138">
        <f>SUM(($C48*G48)+($C49*G49)+($C50*G50)+($C51*G51))*52</f>
        <v>77480</v>
      </c>
      <c r="H52" s="138"/>
      <c r="I52" s="138">
        <f>SUM(($C48*I48)+($C49*I49)+($C50*I50)+($C51*I51))*52</f>
        <v>77480</v>
      </c>
      <c r="J52" s="190"/>
    </row>
    <row r="53" spans="2:10" ht="6.6" customHeight="1" x14ac:dyDescent="0.3">
      <c r="E53" s="194"/>
      <c r="G53" s="194"/>
      <c r="I53" s="194"/>
    </row>
    <row r="54" spans="2:10" ht="16.95" customHeight="1" thickBot="1" x14ac:dyDescent="0.4">
      <c r="B54" s="23" t="s">
        <v>98</v>
      </c>
      <c r="C54" s="52"/>
      <c r="D54" s="52"/>
      <c r="E54" s="195"/>
      <c r="F54" s="32"/>
      <c r="G54" s="195"/>
      <c r="H54" s="32"/>
      <c r="I54" s="195"/>
    </row>
    <row r="55" spans="2:10" s="9" customFormat="1" ht="16.95" customHeight="1" x14ac:dyDescent="0.35">
      <c r="B55" s="10" t="s">
        <v>21</v>
      </c>
      <c r="C55" s="21"/>
      <c r="D55" s="21"/>
      <c r="E55" s="176">
        <f>SUM((E10-E35)+(E48*52))</f>
        <v>4940</v>
      </c>
      <c r="F55" s="192"/>
      <c r="G55" s="176">
        <f>SUM((G10-G35)+(G48*52))</f>
        <v>2600</v>
      </c>
      <c r="H55" s="197"/>
      <c r="I55" s="176">
        <f>SUM((I10-I35)+(I48*52))</f>
        <v>5600</v>
      </c>
    </row>
    <row r="56" spans="2:10" s="9" customFormat="1" ht="16.95" customHeight="1" x14ac:dyDescent="0.35">
      <c r="B56" s="11" t="s">
        <v>22</v>
      </c>
      <c r="C56" s="18"/>
      <c r="D56" s="18"/>
      <c r="E56" s="177">
        <f>SUM((E12-E36)+(E49*52))</f>
        <v>10400</v>
      </c>
      <c r="F56" s="192"/>
      <c r="G56" s="177">
        <f>SUM((G12-G36)+(G49*52))</f>
        <v>6240</v>
      </c>
      <c r="H56" s="197"/>
      <c r="I56" s="177">
        <f>SUM((I12-I36)+(I49*52))</f>
        <v>12240</v>
      </c>
    </row>
    <row r="57" spans="2:10" s="9" customFormat="1" ht="16.95" customHeight="1" x14ac:dyDescent="0.35">
      <c r="B57" s="11" t="s">
        <v>23</v>
      </c>
      <c r="C57" s="18"/>
      <c r="D57" s="18"/>
      <c r="E57" s="177">
        <f>SUM((E12-E36)+(E50*52))</f>
        <v>10400</v>
      </c>
      <c r="F57" s="192"/>
      <c r="G57" s="177">
        <f>SUM((G12-G36)+(G50*52))</f>
        <v>6240</v>
      </c>
      <c r="H57" s="197"/>
      <c r="I57" s="177">
        <f>SUM((I12-I36)+(I50*52))</f>
        <v>12240</v>
      </c>
    </row>
    <row r="58" spans="2:10" s="9" customFormat="1" ht="16.95" customHeight="1" thickBot="1" x14ac:dyDescent="0.4">
      <c r="B58" s="19" t="s">
        <v>24</v>
      </c>
      <c r="C58" s="20"/>
      <c r="D58" s="20"/>
      <c r="E58" s="178">
        <f>SUM((E12-E36)+(E51*52))</f>
        <v>14040</v>
      </c>
      <c r="F58" s="192"/>
      <c r="G58" s="178">
        <f>SUM((G12-G36)+(G51*52))</f>
        <v>9880</v>
      </c>
      <c r="H58" s="197"/>
      <c r="I58" s="178">
        <f>SUM((I12-I36)+(I51*52))</f>
        <v>15880</v>
      </c>
    </row>
    <row r="59" spans="2:10" ht="6.6" customHeight="1" x14ac:dyDescent="0.3">
      <c r="F59" s="32"/>
      <c r="G59" s="196"/>
      <c r="H59" s="191"/>
      <c r="I59" s="196"/>
    </row>
    <row r="60" spans="2:10" ht="16.95" customHeight="1" thickBot="1" x14ac:dyDescent="0.4">
      <c r="B60" s="23" t="s">
        <v>48</v>
      </c>
      <c r="C60" s="52"/>
      <c r="D60" s="52"/>
      <c r="E60" s="52"/>
      <c r="F60" s="32"/>
      <c r="G60" s="195"/>
      <c r="H60" s="191"/>
      <c r="I60" s="195"/>
    </row>
    <row r="61" spans="2:10" s="9" customFormat="1" ht="16.95" customHeight="1" x14ac:dyDescent="0.35">
      <c r="B61" s="10" t="s">
        <v>21</v>
      </c>
      <c r="C61" s="21"/>
      <c r="D61" s="21"/>
      <c r="E61" s="179">
        <f>SUM((E27*12)+F35)-(E48*52)</f>
        <v>5531.84</v>
      </c>
      <c r="F61" s="192"/>
      <c r="G61" s="179">
        <f>SUM((G27*12)+F35)-(G48*52)</f>
        <v>7871.84</v>
      </c>
      <c r="H61" s="197"/>
      <c r="I61" s="179">
        <f>SUM((I27*12)-(I48*52))</f>
        <v>-2600</v>
      </c>
    </row>
    <row r="62" spans="2:10" s="9" customFormat="1" ht="16.95" customHeight="1" x14ac:dyDescent="0.35">
      <c r="B62" s="11" t="s">
        <v>22</v>
      </c>
      <c r="C62" s="18"/>
      <c r="D62" s="18"/>
      <c r="E62" s="180">
        <f>SUM((E28*12)+$F$36)-(E49*52)</f>
        <v>10333.68</v>
      </c>
      <c r="F62" s="192"/>
      <c r="G62" s="180">
        <f>SUM((G28*12)+$F$36)-(G49*52)</f>
        <v>14493.68</v>
      </c>
      <c r="H62" s="197"/>
      <c r="I62" s="180">
        <f>SUM(I28*12)-(I49*52)</f>
        <v>-6240</v>
      </c>
    </row>
    <row r="63" spans="2:10" s="9" customFormat="1" ht="16.95" customHeight="1" x14ac:dyDescent="0.35">
      <c r="B63" s="11" t="s">
        <v>23</v>
      </c>
      <c r="C63" s="18"/>
      <c r="D63" s="18"/>
      <c r="E63" s="180">
        <f>SUM((E29*12)+$F$36)-(E50*52)</f>
        <v>9786.119999999999</v>
      </c>
      <c r="F63" s="192"/>
      <c r="G63" s="180">
        <f>SUM((G29*12)+$F$36)-(G50*52)</f>
        <v>13946.119999999999</v>
      </c>
      <c r="H63" s="193"/>
      <c r="I63" s="180">
        <f>SUM(I29*12)-(I50*52)</f>
        <v>-6240</v>
      </c>
    </row>
    <row r="64" spans="2:10" s="9" customFormat="1" ht="16.95" customHeight="1" thickBot="1" x14ac:dyDescent="0.4">
      <c r="B64" s="19" t="s">
        <v>24</v>
      </c>
      <c r="C64" s="20"/>
      <c r="D64" s="20"/>
      <c r="E64" s="181">
        <f>SUM((E30*12)+$F$36)-(E51*52)</f>
        <v>13029.32</v>
      </c>
      <c r="F64" s="192"/>
      <c r="G64" s="181">
        <f>SUM((G30*12)+$F$36)-(G51*52)</f>
        <v>17189.32</v>
      </c>
      <c r="H64" s="193"/>
      <c r="I64" s="181">
        <f>SUM(I30*12)-(I51*52)</f>
        <v>-9880</v>
      </c>
    </row>
    <row r="65" spans="2:8" x14ac:dyDescent="0.3">
      <c r="B65" s="294"/>
      <c r="C65" s="294"/>
      <c r="D65" s="294"/>
      <c r="E65" s="294"/>
      <c r="F65" s="296"/>
      <c r="G65" s="294"/>
      <c r="H65" s="182"/>
    </row>
    <row r="66" spans="2:8" x14ac:dyDescent="0.3">
      <c r="B66" s="295"/>
      <c r="C66" s="295"/>
      <c r="D66" s="295"/>
      <c r="E66" s="295"/>
      <c r="F66" s="295"/>
      <c r="G66" s="295"/>
      <c r="H66" s="174"/>
    </row>
  </sheetData>
  <mergeCells count="4">
    <mergeCell ref="B32:E32"/>
    <mergeCell ref="B65:G65"/>
    <mergeCell ref="B66:G66"/>
    <mergeCell ref="F33:F34"/>
  </mergeCells>
  <printOptions horizontalCentered="1" verticalCentered="1"/>
  <pageMargins left="0.2" right="0.2" top="0.25" bottom="0.25" header="0.3" footer="0.3"/>
  <pageSetup scale="71" orientation="portrait" horizontalDpi="4294967294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MVP 2021 renewal</vt:lpstr>
      <vt:lpstr>Cost history</vt:lpstr>
      <vt:lpstr>Gold, 3 options</vt:lpstr>
      <vt:lpstr>Gold, HRA, no HRA</vt:lpstr>
      <vt:lpstr>'MVP 2021 renewal'!Print_Area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Jordan Benson</dc:creator>
  <cp:lastModifiedBy>Swanson, Suzanne</cp:lastModifiedBy>
  <cp:lastPrinted>2020-10-20T12:13:45Z</cp:lastPrinted>
  <dcterms:created xsi:type="dcterms:W3CDTF">2017-09-15T17:22:31Z</dcterms:created>
  <dcterms:modified xsi:type="dcterms:W3CDTF">2020-10-22T23:26:35Z</dcterms:modified>
</cp:coreProperties>
</file>